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acunovodstvo\Desktop\plan 2021-23\"/>
    </mc:Choice>
  </mc:AlternateContent>
  <xr:revisionPtr revIDLastSave="0" documentId="13_ncr:1_{F981A9E0-6E61-4FF7-B595-D756602358C4}" xr6:coauthVersionLast="37" xr6:coauthVersionMax="37" xr10:uidLastSave="{00000000-0000-0000-0000-000000000000}"/>
  <workbookProtection workbookPassword="DE31" lockStructure="1"/>
  <bookViews>
    <workbookView xWindow="0" yWindow="0" windowWidth="28800" windowHeight="12225" xr2:uid="{00000000-000D-0000-FFFF-FFFF00000000}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3" hidden="1">'ANALITIKA EU PROJEKATA'!$A$2:$I$3</definedName>
    <definedName name="_xlnm._FilterDatabase" localSheetId="1" hidden="1">'Plan prihoda za unos u SAP'!$Q$5:$U$105</definedName>
    <definedName name="_xlnm._FilterDatabase" localSheetId="5" hidden="1">'PLAN RASHODA I IZDATAKA'!$B$70:$V$85</definedName>
    <definedName name="_xlnm._FilterDatabase" localSheetId="2" hidden="1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79021"/>
</workbook>
</file>

<file path=xl/calcChain.xml><?xml version="1.0" encoding="utf-8"?>
<calcChain xmlns="http://schemas.openxmlformats.org/spreadsheetml/2006/main"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B4" i="25" l="1"/>
  <c r="D4" i="25"/>
  <c r="B5" i="25"/>
  <c r="D5" i="25"/>
  <c r="B6" i="25"/>
  <c r="D6" i="25"/>
  <c r="B7" i="25"/>
  <c r="D7" i="25"/>
  <c r="B8" i="25"/>
  <c r="D8" i="25"/>
  <c r="B9" i="25"/>
  <c r="D9" i="25"/>
  <c r="B10" i="25"/>
  <c r="D10" i="25"/>
  <c r="B11" i="25"/>
  <c r="D11" i="25"/>
  <c r="B12" i="25"/>
  <c r="D12" i="25"/>
  <c r="B13" i="25"/>
  <c r="D13" i="25"/>
  <c r="B14" i="25"/>
  <c r="D14" i="25"/>
  <c r="B15" i="25"/>
  <c r="D15" i="25"/>
  <c r="B16" i="25"/>
  <c r="D16" i="25"/>
  <c r="B17" i="25"/>
  <c r="D17" i="25"/>
  <c r="B18" i="25"/>
  <c r="D18" i="25"/>
  <c r="B19" i="25"/>
  <c r="D19" i="25"/>
  <c r="B20" i="25"/>
  <c r="D20" i="25"/>
  <c r="B21" i="25"/>
  <c r="D21" i="25"/>
  <c r="B22" i="25"/>
  <c r="D22" i="25"/>
  <c r="B23" i="25"/>
  <c r="D23" i="25"/>
  <c r="B24" i="25"/>
  <c r="D24" i="25"/>
  <c r="B25" i="25"/>
  <c r="D25" i="25"/>
  <c r="B26" i="25"/>
  <c r="D26" i="25"/>
  <c r="B27" i="25"/>
  <c r="D27" i="25"/>
  <c r="B28" i="25"/>
  <c r="D28" i="25"/>
  <c r="B29" i="25"/>
  <c r="D29" i="25"/>
  <c r="B30" i="25"/>
  <c r="D30" i="25"/>
  <c r="B31" i="25"/>
  <c r="D31" i="25"/>
  <c r="B32" i="25"/>
  <c r="D32" i="25"/>
  <c r="B33" i="25"/>
  <c r="D33" i="25"/>
  <c r="B34" i="25"/>
  <c r="D34" i="25"/>
  <c r="B35" i="25"/>
  <c r="D35" i="25"/>
  <c r="B36" i="25"/>
  <c r="D36" i="25"/>
  <c r="B37" i="25"/>
  <c r="D37" i="25"/>
  <c r="B38" i="25"/>
  <c r="D38" i="25"/>
  <c r="B39" i="25"/>
  <c r="D39" i="25"/>
  <c r="B40" i="25"/>
  <c r="D40" i="25"/>
  <c r="B41" i="25"/>
  <c r="D41" i="25"/>
  <c r="B42" i="25"/>
  <c r="D42" i="25"/>
  <c r="B43" i="25"/>
  <c r="D43" i="25"/>
  <c r="B44" i="25"/>
  <c r="D44" i="25"/>
  <c r="B45" i="25"/>
  <c r="D45" i="25"/>
  <c r="B46" i="25"/>
  <c r="D46" i="25"/>
  <c r="B47" i="25"/>
  <c r="D47" i="25"/>
  <c r="B48" i="25"/>
  <c r="D48" i="25"/>
  <c r="B49" i="25"/>
  <c r="D49" i="25"/>
  <c r="B50" i="25"/>
  <c r="D50" i="25"/>
  <c r="B51" i="25"/>
  <c r="D51" i="25"/>
  <c r="B52" i="25"/>
  <c r="D52" i="25"/>
  <c r="B53" i="25"/>
  <c r="D53" i="25"/>
  <c r="B54" i="25"/>
  <c r="D54" i="25"/>
  <c r="B55" i="25"/>
  <c r="D55" i="25"/>
  <c r="B56" i="25"/>
  <c r="D56" i="25"/>
  <c r="B57" i="25"/>
  <c r="D57" i="25"/>
  <c r="B58" i="25"/>
  <c r="D58" i="25"/>
  <c r="B59" i="25"/>
  <c r="D59" i="25"/>
  <c r="B60" i="25"/>
  <c r="D60" i="25"/>
  <c r="B61" i="25"/>
  <c r="D61" i="25"/>
  <c r="B62" i="25"/>
  <c r="D62" i="25"/>
  <c r="B63" i="25"/>
  <c r="D63" i="25"/>
  <c r="B64" i="25"/>
  <c r="D64" i="25"/>
  <c r="B65" i="25"/>
  <c r="D65" i="25"/>
  <c r="B66" i="25"/>
  <c r="D66" i="25"/>
  <c r="B67" i="25"/>
  <c r="D67" i="25"/>
  <c r="B68" i="25"/>
  <c r="D68" i="25"/>
  <c r="B69" i="25"/>
  <c r="D69" i="25"/>
  <c r="B70" i="25"/>
  <c r="D70" i="25"/>
  <c r="B71" i="25"/>
  <c r="D71" i="25"/>
  <c r="B72" i="25"/>
  <c r="D72" i="25"/>
  <c r="B73" i="25"/>
  <c r="D73" i="25"/>
  <c r="B74" i="25"/>
  <c r="D74" i="25"/>
  <c r="B75" i="25"/>
  <c r="D75" i="25"/>
  <c r="B76" i="25"/>
  <c r="D76" i="25"/>
  <c r="B77" i="25"/>
  <c r="D77" i="25"/>
  <c r="B78" i="25"/>
  <c r="D78" i="25"/>
  <c r="B79" i="25"/>
  <c r="D79" i="25"/>
  <c r="B80" i="25"/>
  <c r="D80" i="25"/>
  <c r="B81" i="25"/>
  <c r="D81" i="25"/>
  <c r="B82" i="25"/>
  <c r="D82" i="25"/>
  <c r="B83" i="25"/>
  <c r="D83" i="25"/>
  <c r="B84" i="25"/>
  <c r="D84" i="25"/>
  <c r="B85" i="25"/>
  <c r="D85" i="25"/>
  <c r="B86" i="25"/>
  <c r="D86" i="25"/>
  <c r="B87" i="25"/>
  <c r="D87" i="25"/>
  <c r="B88" i="25"/>
  <c r="D88" i="25"/>
  <c r="B89" i="25"/>
  <c r="D89" i="25"/>
  <c r="B90" i="25"/>
  <c r="D90" i="25"/>
  <c r="B91" i="25"/>
  <c r="D91" i="25"/>
  <c r="B92" i="25"/>
  <c r="D92" i="25"/>
  <c r="B93" i="25"/>
  <c r="D93" i="25"/>
  <c r="B94" i="25"/>
  <c r="D94" i="25"/>
  <c r="B95" i="25"/>
  <c r="D95" i="25"/>
  <c r="B96" i="25"/>
  <c r="D96" i="25"/>
  <c r="B97" i="25"/>
  <c r="D97" i="25"/>
  <c r="B98" i="25"/>
  <c r="D98" i="25"/>
  <c r="B99" i="25"/>
  <c r="D99" i="25"/>
  <c r="B100" i="25"/>
  <c r="D100" i="25"/>
  <c r="B101" i="25"/>
  <c r="D101" i="25"/>
  <c r="B102" i="25"/>
  <c r="D102" i="25"/>
  <c r="B103" i="25"/>
  <c r="D103" i="25"/>
  <c r="B104" i="25"/>
  <c r="D104" i="25"/>
  <c r="B105" i="25"/>
  <c r="D105" i="25"/>
  <c r="B106" i="25"/>
  <c r="D106" i="25"/>
  <c r="B107" i="25"/>
  <c r="D107" i="25"/>
  <c r="B108" i="25"/>
  <c r="D108" i="25"/>
  <c r="B109" i="25"/>
  <c r="D109" i="25"/>
  <c r="B110" i="25"/>
  <c r="D110" i="25"/>
  <c r="B111" i="25"/>
  <c r="D111" i="25"/>
  <c r="B112" i="25"/>
  <c r="D112" i="25"/>
  <c r="B113" i="25"/>
  <c r="D113" i="25"/>
  <c r="B114" i="25"/>
  <c r="D114" i="25"/>
  <c r="B115" i="25"/>
  <c r="D115" i="25"/>
  <c r="B116" i="25"/>
  <c r="D116" i="25"/>
  <c r="B117" i="25"/>
  <c r="D117" i="25"/>
  <c r="B118" i="25"/>
  <c r="D118" i="25"/>
  <c r="B119" i="25"/>
  <c r="D119" i="25"/>
  <c r="B120" i="25"/>
  <c r="D120" i="25"/>
  <c r="B121" i="25"/>
  <c r="D121" i="25"/>
  <c r="B122" i="25"/>
  <c r="D122" i="25"/>
  <c r="B123" i="25"/>
  <c r="D123" i="25"/>
  <c r="B124" i="25"/>
  <c r="D124" i="25"/>
  <c r="B125" i="25"/>
  <c r="D125" i="25"/>
  <c r="B126" i="25"/>
  <c r="D126" i="25"/>
  <c r="B127" i="25"/>
  <c r="D127" i="25"/>
  <c r="B128" i="25"/>
  <c r="D128" i="25"/>
  <c r="B129" i="25"/>
  <c r="D129" i="25"/>
  <c r="B130" i="25"/>
  <c r="D130" i="25"/>
  <c r="B131" i="25"/>
  <c r="D131" i="25"/>
  <c r="B132" i="25"/>
  <c r="D132" i="25"/>
  <c r="B133" i="25"/>
  <c r="D133" i="25"/>
  <c r="B134" i="25"/>
  <c r="D134" i="25"/>
  <c r="B135" i="25"/>
  <c r="D135" i="25"/>
  <c r="B136" i="25"/>
  <c r="D136" i="25"/>
  <c r="B137" i="25"/>
  <c r="D137" i="25"/>
  <c r="B138" i="25"/>
  <c r="D138" i="25"/>
  <c r="B139" i="25"/>
  <c r="D139" i="25"/>
  <c r="B140" i="25"/>
  <c r="D140" i="25"/>
  <c r="B141" i="25"/>
  <c r="D141" i="25"/>
  <c r="B142" i="25"/>
  <c r="D142" i="25"/>
  <c r="B143" i="25"/>
  <c r="D143" i="25"/>
  <c r="B144" i="25"/>
  <c r="D144" i="25"/>
  <c r="B145" i="25"/>
  <c r="D145" i="25"/>
  <c r="B146" i="25"/>
  <c r="D146" i="25"/>
  <c r="B147" i="25"/>
  <c r="D147" i="25"/>
  <c r="B148" i="25"/>
  <c r="D148" i="25"/>
  <c r="B149" i="25"/>
  <c r="D149" i="25"/>
  <c r="B150" i="25"/>
  <c r="D150" i="25"/>
  <c r="B151" i="25"/>
  <c r="D151" i="25"/>
  <c r="B152" i="25"/>
  <c r="D152" i="25"/>
  <c r="B153" i="25"/>
  <c r="D153" i="25"/>
  <c r="B154" i="25"/>
  <c r="D154" i="25"/>
  <c r="B155" i="25"/>
  <c r="D155" i="25"/>
  <c r="B156" i="25"/>
  <c r="D156" i="25"/>
  <c r="B157" i="25"/>
  <c r="D157" i="25"/>
  <c r="B158" i="25"/>
  <c r="D158" i="25"/>
  <c r="B159" i="25"/>
  <c r="D159" i="25"/>
  <c r="B160" i="25"/>
  <c r="D160" i="25"/>
  <c r="B161" i="25"/>
  <c r="D161" i="25"/>
  <c r="B162" i="25"/>
  <c r="D162" i="25"/>
  <c r="B163" i="25"/>
  <c r="D163" i="25"/>
  <c r="B164" i="25"/>
  <c r="D164" i="25"/>
  <c r="B165" i="25"/>
  <c r="D165" i="25"/>
  <c r="B166" i="25"/>
  <c r="D166" i="25"/>
  <c r="B167" i="25"/>
  <c r="D167" i="25"/>
  <c r="B168" i="25"/>
  <c r="D168" i="25"/>
  <c r="B169" i="25"/>
  <c r="D169" i="25"/>
  <c r="B170" i="25"/>
  <c r="D170" i="25"/>
  <c r="B171" i="25"/>
  <c r="D171" i="25"/>
  <c r="B172" i="25"/>
  <c r="D172" i="25"/>
  <c r="B173" i="25"/>
  <c r="D173" i="25"/>
  <c r="B174" i="25"/>
  <c r="D174" i="25"/>
  <c r="B175" i="25"/>
  <c r="D175" i="25"/>
  <c r="B176" i="25"/>
  <c r="D176" i="25"/>
  <c r="B177" i="25"/>
  <c r="D177" i="25"/>
  <c r="B178" i="25"/>
  <c r="D178" i="25"/>
  <c r="B179" i="25"/>
  <c r="D179" i="25"/>
  <c r="B180" i="25"/>
  <c r="D180" i="25"/>
  <c r="B181" i="25"/>
  <c r="D181" i="25"/>
  <c r="B182" i="25"/>
  <c r="D182" i="25"/>
  <c r="B183" i="25"/>
  <c r="D183" i="25"/>
  <c r="B184" i="25"/>
  <c r="D184" i="25"/>
  <c r="B185" i="25"/>
  <c r="D185" i="25"/>
  <c r="B186" i="25"/>
  <c r="D186" i="25"/>
  <c r="B187" i="25"/>
  <c r="D187" i="25"/>
  <c r="B188" i="25"/>
  <c r="D188" i="25"/>
  <c r="B189" i="25"/>
  <c r="D189" i="25"/>
  <c r="B190" i="25"/>
  <c r="D190" i="25"/>
  <c r="B191" i="25"/>
  <c r="D191" i="25"/>
  <c r="B192" i="25"/>
  <c r="D192" i="25"/>
  <c r="B193" i="25"/>
  <c r="D193" i="25"/>
  <c r="B194" i="25"/>
  <c r="D194" i="25"/>
  <c r="B195" i="25"/>
  <c r="D195" i="25"/>
  <c r="B196" i="25"/>
  <c r="D196" i="25"/>
  <c r="B197" i="25"/>
  <c r="D197" i="25"/>
  <c r="B198" i="25"/>
  <c r="D198" i="25"/>
  <c r="B199" i="25"/>
  <c r="D199" i="25"/>
  <c r="B200" i="25"/>
  <c r="D200" i="25"/>
  <c r="B201" i="25"/>
  <c r="D201" i="25"/>
  <c r="B202" i="25"/>
  <c r="D202" i="25"/>
  <c r="B203" i="25"/>
  <c r="D203" i="25"/>
  <c r="B204" i="25"/>
  <c r="D204" i="25"/>
  <c r="B205" i="25"/>
  <c r="D205" i="25"/>
  <c r="B206" i="25"/>
  <c r="D206" i="25"/>
  <c r="B207" i="25"/>
  <c r="D207" i="25"/>
  <c r="B208" i="25"/>
  <c r="D208" i="25"/>
  <c r="B209" i="25"/>
  <c r="D209" i="25"/>
  <c r="B210" i="25"/>
  <c r="D210" i="25"/>
  <c r="B211" i="25"/>
  <c r="D211" i="25"/>
  <c r="B212" i="25"/>
  <c r="D212" i="25"/>
  <c r="B213" i="25"/>
  <c r="D213" i="25"/>
  <c r="B214" i="25"/>
  <c r="D214" i="25"/>
  <c r="B215" i="25"/>
  <c r="D215" i="25"/>
  <c r="B216" i="25"/>
  <c r="D216" i="25"/>
  <c r="B217" i="25"/>
  <c r="D217" i="25"/>
  <c r="B218" i="25"/>
  <c r="D218" i="25"/>
  <c r="B219" i="25"/>
  <c r="D219" i="25"/>
  <c r="B220" i="25"/>
  <c r="D220" i="25"/>
  <c r="B221" i="25"/>
  <c r="D221" i="25"/>
  <c r="B222" i="25"/>
  <c r="D222" i="25"/>
  <c r="B223" i="25"/>
  <c r="D223" i="25"/>
  <c r="B224" i="25"/>
  <c r="D224" i="25"/>
  <c r="B225" i="25"/>
  <c r="D225" i="25"/>
  <c r="B226" i="25"/>
  <c r="D226" i="25"/>
  <c r="B227" i="25"/>
  <c r="D227" i="25"/>
  <c r="B228" i="25"/>
  <c r="D228" i="25"/>
  <c r="B229" i="25"/>
  <c r="D229" i="25"/>
  <c r="B230" i="25"/>
  <c r="D230" i="25"/>
  <c r="B231" i="25"/>
  <c r="D231" i="25"/>
  <c r="B232" i="25"/>
  <c r="D232" i="25"/>
  <c r="B233" i="25"/>
  <c r="D233" i="25"/>
  <c r="B234" i="25"/>
  <c r="D234" i="25"/>
  <c r="B235" i="25"/>
  <c r="D235" i="25"/>
  <c r="B236" i="25"/>
  <c r="D236" i="25"/>
  <c r="B237" i="25"/>
  <c r="D237" i="25"/>
  <c r="B238" i="25"/>
  <c r="D238" i="25"/>
  <c r="B239" i="25"/>
  <c r="D239" i="25"/>
  <c r="B240" i="25"/>
  <c r="D240" i="25"/>
  <c r="B241" i="25"/>
  <c r="D241" i="25"/>
  <c r="B242" i="25"/>
  <c r="D242" i="25"/>
  <c r="B243" i="25"/>
  <c r="D243" i="25"/>
  <c r="B244" i="25"/>
  <c r="D244" i="25"/>
  <c r="B245" i="25"/>
  <c r="D245" i="25"/>
  <c r="B246" i="25"/>
  <c r="D246" i="25"/>
  <c r="B247" i="25"/>
  <c r="D247" i="25"/>
  <c r="B248" i="25"/>
  <c r="D248" i="25"/>
  <c r="B249" i="25"/>
  <c r="D249" i="25"/>
  <c r="B250" i="25"/>
  <c r="D250" i="25"/>
  <c r="B251" i="25"/>
  <c r="D251" i="25"/>
  <c r="B252" i="25"/>
  <c r="D252" i="25"/>
  <c r="B253" i="25"/>
  <c r="D253" i="25"/>
  <c r="B254" i="25"/>
  <c r="D254" i="25"/>
  <c r="B255" i="25"/>
  <c r="D255" i="25"/>
  <c r="B256" i="25"/>
  <c r="D256" i="25"/>
  <c r="B257" i="25"/>
  <c r="D257" i="25"/>
  <c r="B258" i="25"/>
  <c r="D258" i="25"/>
  <c r="B259" i="25"/>
  <c r="D259" i="25"/>
  <c r="B260" i="25"/>
  <c r="D260" i="25"/>
  <c r="B261" i="25"/>
  <c r="D261" i="25"/>
  <c r="B262" i="25"/>
  <c r="D262" i="25"/>
  <c r="B263" i="25"/>
  <c r="D263" i="25"/>
  <c r="B264" i="25"/>
  <c r="D264" i="25"/>
  <c r="B265" i="25"/>
  <c r="D265" i="25"/>
  <c r="B266" i="25"/>
  <c r="D266" i="25"/>
  <c r="B267" i="25"/>
  <c r="D267" i="25"/>
  <c r="B268" i="25"/>
  <c r="D268" i="25"/>
  <c r="B269" i="25"/>
  <c r="D269" i="25"/>
  <c r="B270" i="25"/>
  <c r="D270" i="25"/>
  <c r="B271" i="25"/>
  <c r="D271" i="25"/>
  <c r="B272" i="25"/>
  <c r="D272" i="25"/>
  <c r="B273" i="25"/>
  <c r="D273" i="25"/>
  <c r="B274" i="25"/>
  <c r="D274" i="25"/>
  <c r="B275" i="25"/>
  <c r="D275" i="25"/>
  <c r="B276" i="25"/>
  <c r="D276" i="25"/>
  <c r="B277" i="25"/>
  <c r="D277" i="25"/>
  <c r="B278" i="25"/>
  <c r="D278" i="25"/>
  <c r="B279" i="25"/>
  <c r="D279" i="25"/>
  <c r="B280" i="25"/>
  <c r="D280" i="25"/>
  <c r="B281" i="25"/>
  <c r="D281" i="25"/>
  <c r="B282" i="25"/>
  <c r="D282" i="25"/>
  <c r="B283" i="25"/>
  <c r="D283" i="25"/>
  <c r="B284" i="25"/>
  <c r="D284" i="25"/>
  <c r="B285" i="25"/>
  <c r="D285" i="25"/>
  <c r="B286" i="25"/>
  <c r="D286" i="25"/>
  <c r="B287" i="25"/>
  <c r="D287" i="25"/>
  <c r="B288" i="25"/>
  <c r="D288" i="25"/>
  <c r="B289" i="25"/>
  <c r="D289" i="25"/>
  <c r="B290" i="25"/>
  <c r="D290" i="25"/>
  <c r="B291" i="25"/>
  <c r="D291" i="25"/>
  <c r="B292" i="25"/>
  <c r="D292" i="25"/>
  <c r="B293" i="25"/>
  <c r="D293" i="25"/>
  <c r="B294" i="25"/>
  <c r="D294" i="25"/>
  <c r="B295" i="25"/>
  <c r="D295" i="25"/>
  <c r="B296" i="25"/>
  <c r="D296" i="25"/>
  <c r="B297" i="25"/>
  <c r="D297" i="25"/>
  <c r="B298" i="25"/>
  <c r="D298" i="25"/>
  <c r="B299" i="25"/>
  <c r="D299" i="25"/>
  <c r="B300" i="25"/>
  <c r="D300" i="25"/>
  <c r="B301" i="25"/>
  <c r="D301" i="25"/>
  <c r="B302" i="25"/>
  <c r="D302" i="25"/>
  <c r="B303" i="25"/>
  <c r="D303" i="25"/>
  <c r="B304" i="25"/>
  <c r="D304" i="25"/>
  <c r="B305" i="25"/>
  <c r="D305" i="25"/>
  <c r="B306" i="25"/>
  <c r="D306" i="25"/>
  <c r="B307" i="25"/>
  <c r="D307" i="25"/>
  <c r="B308" i="25"/>
  <c r="D308" i="25"/>
  <c r="B309" i="25"/>
  <c r="D309" i="25"/>
  <c r="B310" i="25"/>
  <c r="D310" i="25"/>
  <c r="B311" i="25"/>
  <c r="D311" i="25"/>
  <c r="B312" i="25"/>
  <c r="D312" i="25"/>
  <c r="B313" i="25"/>
  <c r="D313" i="25"/>
  <c r="B314" i="25"/>
  <c r="D314" i="25"/>
  <c r="B315" i="25"/>
  <c r="D315" i="25"/>
  <c r="B316" i="25"/>
  <c r="D316" i="25"/>
  <c r="B317" i="25"/>
  <c r="D317" i="25"/>
  <c r="B318" i="25"/>
  <c r="D318" i="25"/>
  <c r="B319" i="25"/>
  <c r="D319" i="25"/>
  <c r="B320" i="25"/>
  <c r="D320" i="25"/>
  <c r="B321" i="25"/>
  <c r="D321" i="25"/>
  <c r="B322" i="25"/>
  <c r="D322" i="25"/>
  <c r="B323" i="25"/>
  <c r="D323" i="25"/>
  <c r="B324" i="25"/>
  <c r="D324" i="25"/>
  <c r="B325" i="25"/>
  <c r="D325" i="25"/>
  <c r="B326" i="25"/>
  <c r="D326" i="25"/>
  <c r="B327" i="25"/>
  <c r="D327" i="25"/>
  <c r="B328" i="25"/>
  <c r="D328" i="25"/>
  <c r="B329" i="25"/>
  <c r="D329" i="25"/>
  <c r="B330" i="25"/>
  <c r="D330" i="25"/>
  <c r="B331" i="25"/>
  <c r="D331" i="25"/>
  <c r="B332" i="25"/>
  <c r="D332" i="25"/>
  <c r="B333" i="25"/>
  <c r="D333" i="25"/>
  <c r="B334" i="25"/>
  <c r="D334" i="25"/>
  <c r="B335" i="25"/>
  <c r="D335" i="25"/>
  <c r="B336" i="25"/>
  <c r="D336" i="25"/>
  <c r="B337" i="25"/>
  <c r="D337" i="25"/>
  <c r="B338" i="25"/>
  <c r="D338" i="25"/>
  <c r="B339" i="25"/>
  <c r="D339" i="25"/>
  <c r="B340" i="25"/>
  <c r="D340" i="25"/>
  <c r="B341" i="25"/>
  <c r="D341" i="25"/>
  <c r="B342" i="25"/>
  <c r="D342" i="25"/>
  <c r="B343" i="25"/>
  <c r="D343" i="25"/>
  <c r="B344" i="25"/>
  <c r="D344" i="25"/>
  <c r="B345" i="25"/>
  <c r="D345" i="25"/>
  <c r="B346" i="25"/>
  <c r="D346" i="25"/>
  <c r="B347" i="25"/>
  <c r="D347" i="25"/>
  <c r="B348" i="25"/>
  <c r="D348" i="25"/>
  <c r="B349" i="25"/>
  <c r="D349" i="25"/>
  <c r="B350" i="25"/>
  <c r="D350" i="25"/>
  <c r="B351" i="25"/>
  <c r="D351" i="25"/>
  <c r="B352" i="25"/>
  <c r="D352" i="25"/>
  <c r="B353" i="25"/>
  <c r="D353" i="25"/>
  <c r="B354" i="25"/>
  <c r="D354" i="25"/>
  <c r="B355" i="25"/>
  <c r="D355" i="25"/>
  <c r="B356" i="25"/>
  <c r="D356" i="25"/>
  <c r="B357" i="25"/>
  <c r="D357" i="25"/>
  <c r="B358" i="25"/>
  <c r="D358" i="25"/>
  <c r="B359" i="25"/>
  <c r="D359" i="25"/>
  <c r="B360" i="25"/>
  <c r="D360" i="25"/>
  <c r="B361" i="25"/>
  <c r="D361" i="25"/>
  <c r="B362" i="25"/>
  <c r="D362" i="25"/>
  <c r="B363" i="25"/>
  <c r="D363" i="25"/>
  <c r="B364" i="25"/>
  <c r="D364" i="25"/>
  <c r="B365" i="25"/>
  <c r="D365" i="25"/>
  <c r="B366" i="25"/>
  <c r="D366" i="25"/>
  <c r="B367" i="25"/>
  <c r="D367" i="25"/>
  <c r="B368" i="25"/>
  <c r="D368" i="25"/>
  <c r="B369" i="25"/>
  <c r="D369" i="25"/>
  <c r="B370" i="25"/>
  <c r="D370" i="25"/>
  <c r="B371" i="25"/>
  <c r="D371" i="25"/>
  <c r="B372" i="25"/>
  <c r="D372" i="25"/>
  <c r="B373" i="25"/>
  <c r="D373" i="25"/>
  <c r="B374" i="25"/>
  <c r="D374" i="25"/>
  <c r="B375" i="25"/>
  <c r="D375" i="25"/>
  <c r="B376" i="25"/>
  <c r="D376" i="25"/>
  <c r="B377" i="25"/>
  <c r="D377" i="25"/>
  <c r="B378" i="25"/>
  <c r="D378" i="25"/>
  <c r="B379" i="25"/>
  <c r="D379" i="25"/>
  <c r="B380" i="25"/>
  <c r="D380" i="25"/>
  <c r="B381" i="25"/>
  <c r="D381" i="25"/>
  <c r="B382" i="25"/>
  <c r="D382" i="25"/>
  <c r="B383" i="25"/>
  <c r="D383" i="25"/>
  <c r="B384" i="25"/>
  <c r="D384" i="25"/>
  <c r="B385" i="25"/>
  <c r="D385" i="25"/>
  <c r="B386" i="25"/>
  <c r="D386" i="25"/>
  <c r="B387" i="25"/>
  <c r="D387" i="25"/>
  <c r="B388" i="25"/>
  <c r="D388" i="25"/>
  <c r="B389" i="25"/>
  <c r="D389" i="25"/>
  <c r="B390" i="25"/>
  <c r="D390" i="25"/>
  <c r="B391" i="25"/>
  <c r="D391" i="25"/>
  <c r="B392" i="25"/>
  <c r="D392" i="25"/>
  <c r="B393" i="25"/>
  <c r="D393" i="25"/>
  <c r="B394" i="25"/>
  <c r="D394" i="25"/>
  <c r="B395" i="25"/>
  <c r="D395" i="25"/>
  <c r="B396" i="25"/>
  <c r="D396" i="25"/>
  <c r="B397" i="25"/>
  <c r="D397" i="25"/>
  <c r="B398" i="25"/>
  <c r="D398" i="25"/>
  <c r="B399" i="25"/>
  <c r="D399" i="25"/>
  <c r="B400" i="25"/>
  <c r="D400" i="25"/>
  <c r="B401" i="25"/>
  <c r="D401" i="25"/>
  <c r="B402" i="25"/>
  <c r="D402" i="25"/>
  <c r="B403" i="25"/>
  <c r="D403" i="25"/>
  <c r="B404" i="25"/>
  <c r="D404" i="25"/>
  <c r="B405" i="25"/>
  <c r="D405" i="25"/>
  <c r="B406" i="25"/>
  <c r="D406" i="25"/>
  <c r="B407" i="25"/>
  <c r="D407" i="25"/>
  <c r="B408" i="25"/>
  <c r="D408" i="25"/>
  <c r="B409" i="25"/>
  <c r="D409" i="25"/>
  <c r="B410" i="25"/>
  <c r="D410" i="25"/>
  <c r="B411" i="25"/>
  <c r="D411" i="25"/>
  <c r="B412" i="25"/>
  <c r="D412" i="25"/>
  <c r="B413" i="25"/>
  <c r="D413" i="25"/>
  <c r="B414" i="25"/>
  <c r="D414" i="25"/>
  <c r="B415" i="25"/>
  <c r="D415" i="25"/>
  <c r="B416" i="25"/>
  <c r="D416" i="25"/>
  <c r="B417" i="25"/>
  <c r="D417" i="25"/>
  <c r="B418" i="25"/>
  <c r="D418" i="25"/>
  <c r="B419" i="25"/>
  <c r="D419" i="25"/>
  <c r="B420" i="25"/>
  <c r="D420" i="25"/>
  <c r="B421" i="25"/>
  <c r="D421" i="25"/>
  <c r="B422" i="25"/>
  <c r="D422" i="25"/>
  <c r="B423" i="25"/>
  <c r="D423" i="25"/>
  <c r="B424" i="25"/>
  <c r="D424" i="25"/>
  <c r="B425" i="25"/>
  <c r="D425" i="25"/>
  <c r="B426" i="25"/>
  <c r="D426" i="25"/>
  <c r="B427" i="25"/>
  <c r="D427" i="25"/>
  <c r="B428" i="25"/>
  <c r="D428" i="25"/>
  <c r="B429" i="25"/>
  <c r="D429" i="25"/>
  <c r="B430" i="25"/>
  <c r="D430" i="25"/>
  <c r="B431" i="25"/>
  <c r="D431" i="25"/>
  <c r="B432" i="25"/>
  <c r="D432" i="25"/>
  <c r="B433" i="25"/>
  <c r="D433" i="25"/>
  <c r="B434" i="25"/>
  <c r="D434" i="25"/>
  <c r="B435" i="25"/>
  <c r="D435" i="25"/>
  <c r="B436" i="25"/>
  <c r="D436" i="25"/>
  <c r="B437" i="25"/>
  <c r="D437" i="25"/>
  <c r="B438" i="25"/>
  <c r="D438" i="25"/>
  <c r="B439" i="25"/>
  <c r="D439" i="25"/>
  <c r="B440" i="25"/>
  <c r="D440" i="25"/>
  <c r="B441" i="25"/>
  <c r="D441" i="25"/>
  <c r="B442" i="25"/>
  <c r="D442" i="25"/>
  <c r="B443" i="25"/>
  <c r="D443" i="25"/>
  <c r="B444" i="25"/>
  <c r="D444" i="25"/>
  <c r="B445" i="25"/>
  <c r="D445" i="25"/>
  <c r="B446" i="25"/>
  <c r="D446" i="25"/>
  <c r="B447" i="25"/>
  <c r="D447" i="25"/>
  <c r="B448" i="25"/>
  <c r="D448" i="25"/>
  <c r="B449" i="25"/>
  <c r="D449" i="25"/>
  <c r="B450" i="25"/>
  <c r="D450" i="25"/>
  <c r="B451" i="25"/>
  <c r="D451" i="25"/>
  <c r="B452" i="25"/>
  <c r="D452" i="25"/>
  <c r="B453" i="25"/>
  <c r="D453" i="25"/>
  <c r="B454" i="25"/>
  <c r="D454" i="25"/>
  <c r="B455" i="25"/>
  <c r="D455" i="25"/>
  <c r="B456" i="25"/>
  <c r="D456" i="25"/>
  <c r="B457" i="25"/>
  <c r="D457" i="25"/>
  <c r="B458" i="25"/>
  <c r="D458" i="25"/>
  <c r="B459" i="25"/>
  <c r="D459" i="25"/>
  <c r="B460" i="25"/>
  <c r="D460" i="25"/>
  <c r="B461" i="25"/>
  <c r="D461" i="25"/>
  <c r="B462" i="25"/>
  <c r="D462" i="25"/>
  <c r="B463" i="25"/>
  <c r="D463" i="25"/>
  <c r="B464" i="25"/>
  <c r="D464" i="25"/>
  <c r="B465" i="25"/>
  <c r="D465" i="25"/>
  <c r="B466" i="25"/>
  <c r="D466" i="25"/>
  <c r="B467" i="25"/>
  <c r="D467" i="25"/>
  <c r="B468" i="25"/>
  <c r="D468" i="25"/>
  <c r="B469" i="25"/>
  <c r="D469" i="25"/>
  <c r="B470" i="25"/>
  <c r="D470" i="25"/>
  <c r="B471" i="25"/>
  <c r="D471" i="25"/>
  <c r="B472" i="25"/>
  <c r="D472" i="25"/>
  <c r="B473" i="25"/>
  <c r="D473" i="25"/>
  <c r="B474" i="25"/>
  <c r="D474" i="25"/>
  <c r="B475" i="25"/>
  <c r="D475" i="25"/>
  <c r="B476" i="25"/>
  <c r="D476" i="25"/>
  <c r="B477" i="25"/>
  <c r="D477" i="25"/>
  <c r="B478" i="25"/>
  <c r="D478" i="25"/>
  <c r="B479" i="25"/>
  <c r="D479" i="25"/>
  <c r="B480" i="25"/>
  <c r="D480" i="25"/>
  <c r="B481" i="25"/>
  <c r="D481" i="25"/>
  <c r="B482" i="25"/>
  <c r="D482" i="25"/>
  <c r="B483" i="25"/>
  <c r="D483" i="25"/>
  <c r="B484" i="25"/>
  <c r="D484" i="25"/>
  <c r="B485" i="25"/>
  <c r="D485" i="25"/>
  <c r="B486" i="25"/>
  <c r="D486" i="25"/>
  <c r="B487" i="25"/>
  <c r="D487" i="25"/>
  <c r="B488" i="25"/>
  <c r="D488" i="25"/>
  <c r="B489" i="25"/>
  <c r="D489" i="25"/>
  <c r="B490" i="25"/>
  <c r="D490" i="25"/>
  <c r="B491" i="25"/>
  <c r="D491" i="25"/>
  <c r="B492" i="25"/>
  <c r="D492" i="25"/>
  <c r="B493" i="25"/>
  <c r="D493" i="25"/>
  <c r="B494" i="25"/>
  <c r="D494" i="25"/>
  <c r="B495" i="25"/>
  <c r="D495" i="25"/>
  <c r="B496" i="25"/>
  <c r="D496" i="25"/>
  <c r="B497" i="25"/>
  <c r="D497" i="25"/>
  <c r="B498" i="25"/>
  <c r="D498" i="25"/>
  <c r="B499" i="25"/>
  <c r="D499" i="25"/>
  <c r="B500" i="25"/>
  <c r="D500" i="25"/>
  <c r="B501" i="25"/>
  <c r="D501" i="25"/>
  <c r="D3" i="25"/>
  <c r="B3" i="25"/>
  <c r="A4" i="4"/>
  <c r="B4" i="4"/>
  <c r="C4" i="4"/>
  <c r="D4" i="4"/>
  <c r="F4" i="4"/>
  <c r="A5" i="4"/>
  <c r="B5" i="4"/>
  <c r="C5" i="4"/>
  <c r="D5" i="4"/>
  <c r="F5" i="4"/>
  <c r="A6" i="4"/>
  <c r="B6" i="4"/>
  <c r="C6" i="4"/>
  <c r="D6" i="4"/>
  <c r="F6" i="4"/>
  <c r="A7" i="4"/>
  <c r="B7" i="4"/>
  <c r="C7" i="4"/>
  <c r="D7" i="4"/>
  <c r="F7" i="4"/>
  <c r="A8" i="4"/>
  <c r="B8" i="4"/>
  <c r="C8" i="4"/>
  <c r="D8" i="4"/>
  <c r="F8" i="4"/>
  <c r="A9" i="4"/>
  <c r="B9" i="4"/>
  <c r="C9" i="4"/>
  <c r="D9" i="4"/>
  <c r="F9" i="4"/>
  <c r="A10" i="4"/>
  <c r="B10" i="4"/>
  <c r="C10" i="4"/>
  <c r="D10" i="4"/>
  <c r="F10" i="4"/>
  <c r="A11" i="4"/>
  <c r="B11" i="4"/>
  <c r="C11" i="4"/>
  <c r="D11" i="4"/>
  <c r="F11" i="4"/>
  <c r="A12" i="4"/>
  <c r="B12" i="4"/>
  <c r="C12" i="4"/>
  <c r="D12" i="4"/>
  <c r="F12" i="4"/>
  <c r="A13" i="4"/>
  <c r="B13" i="4"/>
  <c r="C13" i="4"/>
  <c r="D13" i="4"/>
  <c r="F13" i="4"/>
  <c r="A14" i="4"/>
  <c r="B14" i="4"/>
  <c r="C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A23" i="4"/>
  <c r="B23" i="4"/>
  <c r="C23" i="4"/>
  <c r="D23" i="4"/>
  <c r="F23" i="4"/>
  <c r="A24" i="4"/>
  <c r="B24" i="4"/>
  <c r="C24" i="4"/>
  <c r="D24" i="4"/>
  <c r="F24" i="4"/>
  <c r="A25" i="4"/>
  <c r="B25" i="4"/>
  <c r="C25" i="4"/>
  <c r="D25" i="4"/>
  <c r="F25" i="4"/>
  <c r="A26" i="4"/>
  <c r="B26" i="4"/>
  <c r="C26" i="4"/>
  <c r="D26" i="4"/>
  <c r="F26" i="4"/>
  <c r="A27" i="4"/>
  <c r="B27" i="4"/>
  <c r="C27" i="4"/>
  <c r="D27" i="4"/>
  <c r="F27" i="4"/>
  <c r="A28" i="4"/>
  <c r="B28" i="4"/>
  <c r="C28" i="4"/>
  <c r="D28" i="4"/>
  <c r="F28" i="4"/>
  <c r="A29" i="4"/>
  <c r="B29" i="4"/>
  <c r="C29" i="4"/>
  <c r="D29" i="4"/>
  <c r="F29" i="4"/>
  <c r="A30" i="4"/>
  <c r="B30" i="4"/>
  <c r="C30" i="4"/>
  <c r="D30" i="4"/>
  <c r="F30" i="4"/>
  <c r="A31" i="4"/>
  <c r="B31" i="4"/>
  <c r="C31" i="4"/>
  <c r="D31" i="4"/>
  <c r="F31" i="4"/>
  <c r="A32" i="4"/>
  <c r="B32" i="4"/>
  <c r="C32" i="4"/>
  <c r="D32" i="4"/>
  <c r="F32" i="4"/>
  <c r="A33" i="4"/>
  <c r="B33" i="4"/>
  <c r="C33" i="4"/>
  <c r="D33" i="4"/>
  <c r="F33" i="4"/>
  <c r="A34" i="4"/>
  <c r="B34" i="4"/>
  <c r="C34" i="4"/>
  <c r="D34" i="4"/>
  <c r="F34" i="4"/>
  <c r="A35" i="4"/>
  <c r="B35" i="4"/>
  <c r="C35" i="4"/>
  <c r="D35" i="4"/>
  <c r="F35" i="4"/>
  <c r="A36" i="4"/>
  <c r="B36" i="4"/>
  <c r="C36" i="4"/>
  <c r="D36" i="4"/>
  <c r="F36" i="4"/>
  <c r="A37" i="4"/>
  <c r="B37" i="4"/>
  <c r="C37" i="4"/>
  <c r="D37" i="4"/>
  <c r="F37" i="4"/>
  <c r="A38" i="4"/>
  <c r="B38" i="4"/>
  <c r="C38" i="4"/>
  <c r="D38" i="4"/>
  <c r="F38" i="4"/>
  <c r="A39" i="4"/>
  <c r="B39" i="4"/>
  <c r="C39" i="4"/>
  <c r="D39" i="4"/>
  <c r="F39" i="4"/>
  <c r="A40" i="4"/>
  <c r="B40" i="4"/>
  <c r="C40" i="4"/>
  <c r="D40" i="4"/>
  <c r="F40" i="4"/>
  <c r="A41" i="4"/>
  <c r="B41" i="4"/>
  <c r="C41" i="4"/>
  <c r="D41" i="4"/>
  <c r="F41" i="4"/>
  <c r="A42" i="4"/>
  <c r="B42" i="4"/>
  <c r="C42" i="4"/>
  <c r="D42" i="4"/>
  <c r="F42" i="4"/>
  <c r="A43" i="4"/>
  <c r="B43" i="4"/>
  <c r="C43" i="4"/>
  <c r="D43" i="4"/>
  <c r="F43" i="4"/>
  <c r="A44" i="4"/>
  <c r="B44" i="4"/>
  <c r="C44" i="4"/>
  <c r="D44" i="4"/>
  <c r="F44" i="4"/>
  <c r="A45" i="4"/>
  <c r="B45" i="4"/>
  <c r="C45" i="4"/>
  <c r="D45" i="4"/>
  <c r="F45" i="4"/>
  <c r="A46" i="4"/>
  <c r="B46" i="4"/>
  <c r="C46" i="4"/>
  <c r="D46" i="4"/>
  <c r="F46" i="4"/>
  <c r="A47" i="4"/>
  <c r="B47" i="4"/>
  <c r="C47" i="4"/>
  <c r="D47" i="4"/>
  <c r="F47" i="4"/>
  <c r="A48" i="4"/>
  <c r="B48" i="4"/>
  <c r="C48" i="4"/>
  <c r="D48" i="4"/>
  <c r="F48" i="4"/>
  <c r="A49" i="4"/>
  <c r="B49" i="4"/>
  <c r="C49" i="4"/>
  <c r="D49" i="4"/>
  <c r="F49" i="4"/>
  <c r="A50" i="4"/>
  <c r="B50" i="4"/>
  <c r="C50" i="4"/>
  <c r="D50" i="4"/>
  <c r="F50" i="4"/>
  <c r="A51" i="4"/>
  <c r="B51" i="4"/>
  <c r="C51" i="4"/>
  <c r="D51" i="4"/>
  <c r="F51" i="4"/>
  <c r="A52" i="4"/>
  <c r="B52" i="4"/>
  <c r="C52" i="4"/>
  <c r="D52" i="4"/>
  <c r="F52" i="4"/>
  <c r="A53" i="4"/>
  <c r="B53" i="4"/>
  <c r="C53" i="4"/>
  <c r="D53" i="4"/>
  <c r="F53" i="4"/>
  <c r="A54" i="4"/>
  <c r="B54" i="4"/>
  <c r="C54" i="4"/>
  <c r="D54" i="4"/>
  <c r="F54" i="4"/>
  <c r="A55" i="4"/>
  <c r="B55" i="4"/>
  <c r="C55" i="4"/>
  <c r="D55" i="4"/>
  <c r="F55" i="4"/>
  <c r="A56" i="4"/>
  <c r="B56" i="4"/>
  <c r="C56" i="4"/>
  <c r="D56" i="4"/>
  <c r="F56" i="4"/>
  <c r="A57" i="4"/>
  <c r="B57" i="4"/>
  <c r="C57" i="4"/>
  <c r="D57" i="4"/>
  <c r="F57" i="4"/>
  <c r="A58" i="4"/>
  <c r="B58" i="4"/>
  <c r="C58" i="4"/>
  <c r="D58" i="4"/>
  <c r="F58" i="4"/>
  <c r="A59" i="4"/>
  <c r="B59" i="4"/>
  <c r="C59" i="4"/>
  <c r="D59" i="4"/>
  <c r="F59" i="4"/>
  <c r="A60" i="4"/>
  <c r="B60" i="4"/>
  <c r="C60" i="4"/>
  <c r="D60" i="4"/>
  <c r="F60" i="4"/>
  <c r="A61" i="4"/>
  <c r="B61" i="4"/>
  <c r="C61" i="4"/>
  <c r="D61" i="4"/>
  <c r="F61" i="4"/>
  <c r="A62" i="4"/>
  <c r="B62" i="4"/>
  <c r="C62" i="4"/>
  <c r="D62" i="4"/>
  <c r="F62" i="4"/>
  <c r="A63" i="4"/>
  <c r="B63" i="4"/>
  <c r="C63" i="4"/>
  <c r="D63" i="4"/>
  <c r="F63" i="4"/>
  <c r="A64" i="4"/>
  <c r="B64" i="4"/>
  <c r="C64" i="4"/>
  <c r="D64" i="4"/>
  <c r="F64" i="4"/>
  <c r="A65" i="4"/>
  <c r="B65" i="4"/>
  <c r="C65" i="4"/>
  <c r="D65" i="4"/>
  <c r="F65" i="4"/>
  <c r="A66" i="4"/>
  <c r="B66" i="4"/>
  <c r="C66" i="4"/>
  <c r="D66" i="4"/>
  <c r="F66" i="4"/>
  <c r="A67" i="4"/>
  <c r="B67" i="4"/>
  <c r="C67" i="4"/>
  <c r="D67" i="4"/>
  <c r="F67" i="4"/>
  <c r="A68" i="4"/>
  <c r="B68" i="4"/>
  <c r="C68" i="4"/>
  <c r="D68" i="4"/>
  <c r="F68" i="4"/>
  <c r="A69" i="4"/>
  <c r="B69" i="4"/>
  <c r="C69" i="4"/>
  <c r="D69" i="4"/>
  <c r="F69" i="4"/>
  <c r="A70" i="4"/>
  <c r="B70" i="4"/>
  <c r="C70" i="4"/>
  <c r="D70" i="4"/>
  <c r="F70" i="4"/>
  <c r="A71" i="4"/>
  <c r="B71" i="4"/>
  <c r="C71" i="4"/>
  <c r="D71" i="4"/>
  <c r="F71" i="4"/>
  <c r="A72" i="4"/>
  <c r="B72" i="4"/>
  <c r="C72" i="4"/>
  <c r="D72" i="4"/>
  <c r="F72" i="4"/>
  <c r="A73" i="4"/>
  <c r="B73" i="4"/>
  <c r="C73" i="4"/>
  <c r="D73" i="4"/>
  <c r="F73" i="4"/>
  <c r="A74" i="4"/>
  <c r="B74" i="4"/>
  <c r="C74" i="4"/>
  <c r="D74" i="4"/>
  <c r="F74" i="4"/>
  <c r="A75" i="4"/>
  <c r="B75" i="4"/>
  <c r="C75" i="4"/>
  <c r="D75" i="4"/>
  <c r="F75" i="4"/>
  <c r="A76" i="4"/>
  <c r="B76" i="4"/>
  <c r="C76" i="4"/>
  <c r="D76" i="4"/>
  <c r="F76" i="4"/>
  <c r="A77" i="4"/>
  <c r="B77" i="4"/>
  <c r="C77" i="4"/>
  <c r="D77" i="4"/>
  <c r="F77" i="4"/>
  <c r="A78" i="4"/>
  <c r="B78" i="4"/>
  <c r="C78" i="4"/>
  <c r="D78" i="4"/>
  <c r="F78" i="4"/>
  <c r="A79" i="4"/>
  <c r="B79" i="4"/>
  <c r="C79" i="4"/>
  <c r="D79" i="4"/>
  <c r="F79" i="4"/>
  <c r="A80" i="4"/>
  <c r="B80" i="4"/>
  <c r="C80" i="4"/>
  <c r="D80" i="4"/>
  <c r="F80" i="4"/>
  <c r="A81" i="4"/>
  <c r="B81" i="4"/>
  <c r="C81" i="4"/>
  <c r="D81" i="4"/>
  <c r="F81" i="4"/>
  <c r="A82" i="4"/>
  <c r="B82" i="4"/>
  <c r="C82" i="4"/>
  <c r="D82" i="4"/>
  <c r="F82" i="4"/>
  <c r="A83" i="4"/>
  <c r="B83" i="4"/>
  <c r="C83" i="4"/>
  <c r="D83" i="4"/>
  <c r="F83" i="4"/>
  <c r="A84" i="4"/>
  <c r="B84" i="4"/>
  <c r="C84" i="4"/>
  <c r="D84" i="4"/>
  <c r="F84" i="4"/>
  <c r="A85" i="4"/>
  <c r="B85" i="4"/>
  <c r="C85" i="4"/>
  <c r="D85" i="4"/>
  <c r="F85" i="4"/>
  <c r="A86" i="4"/>
  <c r="B86" i="4"/>
  <c r="C86" i="4"/>
  <c r="D86" i="4"/>
  <c r="F86" i="4"/>
  <c r="A87" i="4"/>
  <c r="B87" i="4"/>
  <c r="C87" i="4"/>
  <c r="D87" i="4"/>
  <c r="F87" i="4"/>
  <c r="A88" i="4"/>
  <c r="B88" i="4"/>
  <c r="C88" i="4"/>
  <c r="D88" i="4"/>
  <c r="F88" i="4"/>
  <c r="A89" i="4"/>
  <c r="B89" i="4"/>
  <c r="C89" i="4"/>
  <c r="D89" i="4"/>
  <c r="F89" i="4"/>
  <c r="A90" i="4"/>
  <c r="B90" i="4"/>
  <c r="C90" i="4"/>
  <c r="D90" i="4"/>
  <c r="F90" i="4"/>
  <c r="A91" i="4"/>
  <c r="B91" i="4"/>
  <c r="C91" i="4"/>
  <c r="D91" i="4"/>
  <c r="F91" i="4"/>
  <c r="A92" i="4"/>
  <c r="B92" i="4"/>
  <c r="C92" i="4"/>
  <c r="D92" i="4"/>
  <c r="F92" i="4"/>
  <c r="A93" i="4"/>
  <c r="B93" i="4"/>
  <c r="C93" i="4"/>
  <c r="D93" i="4"/>
  <c r="F93" i="4"/>
  <c r="A94" i="4"/>
  <c r="B94" i="4"/>
  <c r="C94" i="4"/>
  <c r="D94" i="4"/>
  <c r="F94" i="4"/>
  <c r="A95" i="4"/>
  <c r="B95" i="4"/>
  <c r="C95" i="4"/>
  <c r="D95" i="4"/>
  <c r="F95" i="4"/>
  <c r="A96" i="4"/>
  <c r="B96" i="4"/>
  <c r="C96" i="4"/>
  <c r="D96" i="4"/>
  <c r="F96" i="4"/>
  <c r="A97" i="4"/>
  <c r="B97" i="4"/>
  <c r="C97" i="4"/>
  <c r="D97" i="4"/>
  <c r="F97" i="4"/>
  <c r="A98" i="4"/>
  <c r="B98" i="4"/>
  <c r="C98" i="4"/>
  <c r="D98" i="4"/>
  <c r="F98" i="4"/>
  <c r="A99" i="4"/>
  <c r="B99" i="4"/>
  <c r="C99" i="4"/>
  <c r="D99" i="4"/>
  <c r="F99" i="4"/>
  <c r="A100" i="4"/>
  <c r="B100" i="4"/>
  <c r="C100" i="4"/>
  <c r="D100" i="4"/>
  <c r="F100" i="4"/>
  <c r="A101" i="4"/>
  <c r="B101" i="4"/>
  <c r="C101" i="4"/>
  <c r="D101" i="4"/>
  <c r="F101" i="4"/>
  <c r="A102" i="4"/>
  <c r="B102" i="4"/>
  <c r="C102" i="4"/>
  <c r="D102" i="4"/>
  <c r="F102" i="4"/>
  <c r="A103" i="4"/>
  <c r="B103" i="4"/>
  <c r="C103" i="4"/>
  <c r="D103" i="4"/>
  <c r="F103" i="4"/>
  <c r="A104" i="4"/>
  <c r="B104" i="4"/>
  <c r="C104" i="4"/>
  <c r="D104" i="4"/>
  <c r="F104" i="4"/>
  <c r="A105" i="4"/>
  <c r="B105" i="4"/>
  <c r="C105" i="4"/>
  <c r="D105" i="4"/>
  <c r="F105" i="4"/>
  <c r="A106" i="4"/>
  <c r="B106" i="4"/>
  <c r="C106" i="4"/>
  <c r="D106" i="4"/>
  <c r="F106" i="4"/>
  <c r="A107" i="4"/>
  <c r="B107" i="4"/>
  <c r="C107" i="4"/>
  <c r="D107" i="4"/>
  <c r="F107" i="4"/>
  <c r="A108" i="4"/>
  <c r="B108" i="4"/>
  <c r="C108" i="4"/>
  <c r="D108" i="4"/>
  <c r="F108" i="4"/>
  <c r="A109" i="4"/>
  <c r="B109" i="4"/>
  <c r="C109" i="4"/>
  <c r="D109" i="4"/>
  <c r="F109" i="4"/>
  <c r="A110" i="4"/>
  <c r="B110" i="4"/>
  <c r="C110" i="4"/>
  <c r="D110" i="4"/>
  <c r="F110" i="4"/>
  <c r="A111" i="4"/>
  <c r="B111" i="4"/>
  <c r="C111" i="4"/>
  <c r="D111" i="4"/>
  <c r="F111" i="4"/>
  <c r="A112" i="4"/>
  <c r="B112" i="4"/>
  <c r="C112" i="4"/>
  <c r="D112" i="4"/>
  <c r="F112" i="4"/>
  <c r="A113" i="4"/>
  <c r="B113" i="4"/>
  <c r="C113" i="4"/>
  <c r="D113" i="4"/>
  <c r="F113" i="4"/>
  <c r="A114" i="4"/>
  <c r="B114" i="4"/>
  <c r="C114" i="4"/>
  <c r="D114" i="4"/>
  <c r="F114" i="4"/>
  <c r="A115" i="4"/>
  <c r="B115" i="4"/>
  <c r="C115" i="4"/>
  <c r="D115" i="4"/>
  <c r="F115" i="4"/>
  <c r="A116" i="4"/>
  <c r="B116" i="4"/>
  <c r="C116" i="4"/>
  <c r="D116" i="4"/>
  <c r="F116" i="4"/>
  <c r="A117" i="4"/>
  <c r="B117" i="4"/>
  <c r="C117" i="4"/>
  <c r="D117" i="4"/>
  <c r="F117" i="4"/>
  <c r="A118" i="4"/>
  <c r="B118" i="4"/>
  <c r="C118" i="4"/>
  <c r="D118" i="4"/>
  <c r="F118" i="4"/>
  <c r="A119" i="4"/>
  <c r="B119" i="4"/>
  <c r="C119" i="4"/>
  <c r="D119" i="4"/>
  <c r="F119" i="4"/>
  <c r="A120" i="4"/>
  <c r="B120" i="4"/>
  <c r="C120" i="4"/>
  <c r="D120" i="4"/>
  <c r="F120" i="4"/>
  <c r="A121" i="4"/>
  <c r="B121" i="4"/>
  <c r="C121" i="4"/>
  <c r="D121" i="4"/>
  <c r="F121" i="4"/>
  <c r="A122" i="4"/>
  <c r="B122" i="4"/>
  <c r="C122" i="4"/>
  <c r="D122" i="4"/>
  <c r="F122" i="4"/>
  <c r="A123" i="4"/>
  <c r="B123" i="4"/>
  <c r="C123" i="4"/>
  <c r="D123" i="4"/>
  <c r="F123" i="4"/>
  <c r="A124" i="4"/>
  <c r="B124" i="4"/>
  <c r="C124" i="4"/>
  <c r="D124" i="4"/>
  <c r="F124" i="4"/>
  <c r="A125" i="4"/>
  <c r="B125" i="4"/>
  <c r="C125" i="4"/>
  <c r="D125" i="4"/>
  <c r="F125" i="4"/>
  <c r="A126" i="4"/>
  <c r="B126" i="4"/>
  <c r="C126" i="4"/>
  <c r="D126" i="4"/>
  <c r="F126" i="4"/>
  <c r="A127" i="4"/>
  <c r="B127" i="4"/>
  <c r="C127" i="4"/>
  <c r="D127" i="4"/>
  <c r="F127" i="4"/>
  <c r="A128" i="4"/>
  <c r="B128" i="4"/>
  <c r="C128" i="4"/>
  <c r="D128" i="4"/>
  <c r="F128" i="4"/>
  <c r="A129" i="4"/>
  <c r="B129" i="4"/>
  <c r="C129" i="4"/>
  <c r="D129" i="4"/>
  <c r="F129" i="4"/>
  <c r="A130" i="4"/>
  <c r="B130" i="4"/>
  <c r="C130" i="4"/>
  <c r="D130" i="4"/>
  <c r="F130" i="4"/>
  <c r="A131" i="4"/>
  <c r="B131" i="4"/>
  <c r="C131" i="4"/>
  <c r="D131" i="4"/>
  <c r="F131" i="4"/>
  <c r="A132" i="4"/>
  <c r="B132" i="4"/>
  <c r="C132" i="4"/>
  <c r="D132" i="4"/>
  <c r="F132" i="4"/>
  <c r="A133" i="4"/>
  <c r="B133" i="4"/>
  <c r="C133" i="4"/>
  <c r="D133" i="4"/>
  <c r="F133" i="4"/>
  <c r="A134" i="4"/>
  <c r="B134" i="4"/>
  <c r="C134" i="4"/>
  <c r="D134" i="4"/>
  <c r="F134" i="4"/>
  <c r="A135" i="4"/>
  <c r="B135" i="4"/>
  <c r="C135" i="4"/>
  <c r="D135" i="4"/>
  <c r="F135" i="4"/>
  <c r="A136" i="4"/>
  <c r="B136" i="4"/>
  <c r="C136" i="4"/>
  <c r="D136" i="4"/>
  <c r="F136" i="4"/>
  <c r="A137" i="4"/>
  <c r="B137" i="4"/>
  <c r="C137" i="4"/>
  <c r="D137" i="4"/>
  <c r="F137" i="4"/>
  <c r="A138" i="4"/>
  <c r="B138" i="4"/>
  <c r="C138" i="4"/>
  <c r="D138" i="4"/>
  <c r="F138" i="4"/>
  <c r="A139" i="4"/>
  <c r="B139" i="4"/>
  <c r="C139" i="4"/>
  <c r="D139" i="4"/>
  <c r="F139" i="4"/>
  <c r="A140" i="4"/>
  <c r="B140" i="4"/>
  <c r="C140" i="4"/>
  <c r="D140" i="4"/>
  <c r="F140" i="4"/>
  <c r="A141" i="4"/>
  <c r="B141" i="4"/>
  <c r="C141" i="4"/>
  <c r="D141" i="4"/>
  <c r="F141" i="4"/>
  <c r="A142" i="4"/>
  <c r="B142" i="4"/>
  <c r="C142" i="4"/>
  <c r="D142" i="4"/>
  <c r="F142" i="4"/>
  <c r="A143" i="4"/>
  <c r="B143" i="4"/>
  <c r="C143" i="4"/>
  <c r="D143" i="4"/>
  <c r="F143" i="4"/>
  <c r="A144" i="4"/>
  <c r="B144" i="4"/>
  <c r="C144" i="4"/>
  <c r="D144" i="4"/>
  <c r="F144" i="4"/>
  <c r="A145" i="4"/>
  <c r="B145" i="4"/>
  <c r="C145" i="4"/>
  <c r="D145" i="4"/>
  <c r="F145" i="4"/>
  <c r="A146" i="4"/>
  <c r="B146" i="4"/>
  <c r="C146" i="4"/>
  <c r="D146" i="4"/>
  <c r="F146" i="4"/>
  <c r="A147" i="4"/>
  <c r="B147" i="4"/>
  <c r="C147" i="4"/>
  <c r="D147" i="4"/>
  <c r="F147" i="4"/>
  <c r="A148" i="4"/>
  <c r="B148" i="4"/>
  <c r="C148" i="4"/>
  <c r="D148" i="4"/>
  <c r="F148" i="4"/>
  <c r="A149" i="4"/>
  <c r="B149" i="4"/>
  <c r="C149" i="4"/>
  <c r="D149" i="4"/>
  <c r="F149" i="4"/>
  <c r="A150" i="4"/>
  <c r="B150" i="4"/>
  <c r="C150" i="4"/>
  <c r="D150" i="4"/>
  <c r="F150" i="4"/>
  <c r="A151" i="4"/>
  <c r="B151" i="4"/>
  <c r="C151" i="4"/>
  <c r="D151" i="4"/>
  <c r="F151" i="4"/>
  <c r="A152" i="4"/>
  <c r="B152" i="4"/>
  <c r="C152" i="4"/>
  <c r="D152" i="4"/>
  <c r="F152" i="4"/>
  <c r="A153" i="4"/>
  <c r="B153" i="4"/>
  <c r="C153" i="4"/>
  <c r="D153" i="4"/>
  <c r="F153" i="4"/>
  <c r="A154" i="4"/>
  <c r="B154" i="4"/>
  <c r="C154" i="4"/>
  <c r="D154" i="4"/>
  <c r="F154" i="4"/>
  <c r="A155" i="4"/>
  <c r="B155" i="4"/>
  <c r="C155" i="4"/>
  <c r="D155" i="4"/>
  <c r="F155" i="4"/>
  <c r="A156" i="4"/>
  <c r="B156" i="4"/>
  <c r="C156" i="4"/>
  <c r="D156" i="4"/>
  <c r="F156" i="4"/>
  <c r="A157" i="4"/>
  <c r="B157" i="4"/>
  <c r="C157" i="4"/>
  <c r="D157" i="4"/>
  <c r="F157" i="4"/>
  <c r="A158" i="4"/>
  <c r="B158" i="4"/>
  <c r="C158" i="4"/>
  <c r="D158" i="4"/>
  <c r="F158" i="4"/>
  <c r="A159" i="4"/>
  <c r="B159" i="4"/>
  <c r="C159" i="4"/>
  <c r="D159" i="4"/>
  <c r="F159" i="4"/>
  <c r="A160" i="4"/>
  <c r="B160" i="4"/>
  <c r="C160" i="4"/>
  <c r="D160" i="4"/>
  <c r="F160" i="4"/>
  <c r="A161" i="4"/>
  <c r="B161" i="4"/>
  <c r="C161" i="4"/>
  <c r="D161" i="4"/>
  <c r="F161" i="4"/>
  <c r="A162" i="4"/>
  <c r="B162" i="4"/>
  <c r="C162" i="4"/>
  <c r="D162" i="4"/>
  <c r="F162" i="4"/>
  <c r="A163" i="4"/>
  <c r="B163" i="4"/>
  <c r="C163" i="4"/>
  <c r="D163" i="4"/>
  <c r="F163" i="4"/>
  <c r="A164" i="4"/>
  <c r="B164" i="4"/>
  <c r="C164" i="4"/>
  <c r="D164" i="4"/>
  <c r="F164" i="4"/>
  <c r="A165" i="4"/>
  <c r="B165" i="4"/>
  <c r="C165" i="4"/>
  <c r="D165" i="4"/>
  <c r="F165" i="4"/>
  <c r="A166" i="4"/>
  <c r="B166" i="4"/>
  <c r="C166" i="4"/>
  <c r="D166" i="4"/>
  <c r="F166" i="4"/>
  <c r="A167" i="4"/>
  <c r="B167" i="4"/>
  <c r="C167" i="4"/>
  <c r="D167" i="4"/>
  <c r="F167" i="4"/>
  <c r="A168" i="4"/>
  <c r="B168" i="4"/>
  <c r="C168" i="4"/>
  <c r="D168" i="4"/>
  <c r="F168" i="4"/>
  <c r="A169" i="4"/>
  <c r="B169" i="4"/>
  <c r="C169" i="4"/>
  <c r="D169" i="4"/>
  <c r="F169" i="4"/>
  <c r="A170" i="4"/>
  <c r="B170" i="4"/>
  <c r="C170" i="4"/>
  <c r="D170" i="4"/>
  <c r="F170" i="4"/>
  <c r="A171" i="4"/>
  <c r="B171" i="4"/>
  <c r="C171" i="4"/>
  <c r="D171" i="4"/>
  <c r="F171" i="4"/>
  <c r="A172" i="4"/>
  <c r="B172" i="4"/>
  <c r="C172" i="4"/>
  <c r="D172" i="4"/>
  <c r="F172" i="4"/>
  <c r="A173" i="4"/>
  <c r="B173" i="4"/>
  <c r="C173" i="4"/>
  <c r="D173" i="4"/>
  <c r="F173" i="4"/>
  <c r="A174" i="4"/>
  <c r="B174" i="4"/>
  <c r="C174" i="4"/>
  <c r="D174" i="4"/>
  <c r="F174" i="4"/>
  <c r="A175" i="4"/>
  <c r="B175" i="4"/>
  <c r="C175" i="4"/>
  <c r="D175" i="4"/>
  <c r="F175" i="4"/>
  <c r="A176" i="4"/>
  <c r="B176" i="4"/>
  <c r="C176" i="4"/>
  <c r="D176" i="4"/>
  <c r="F176" i="4"/>
  <c r="A177" i="4"/>
  <c r="B177" i="4"/>
  <c r="C177" i="4"/>
  <c r="D177" i="4"/>
  <c r="F177" i="4"/>
  <c r="A178" i="4"/>
  <c r="B178" i="4"/>
  <c r="C178" i="4"/>
  <c r="D178" i="4"/>
  <c r="F178" i="4"/>
  <c r="A179" i="4"/>
  <c r="B179" i="4"/>
  <c r="C179" i="4"/>
  <c r="D179" i="4"/>
  <c r="F179" i="4"/>
  <c r="A180" i="4"/>
  <c r="B180" i="4"/>
  <c r="C180" i="4"/>
  <c r="D180" i="4"/>
  <c r="F180" i="4"/>
  <c r="A181" i="4"/>
  <c r="B181" i="4"/>
  <c r="C181" i="4"/>
  <c r="D181" i="4"/>
  <c r="F181" i="4"/>
  <c r="A182" i="4"/>
  <c r="B182" i="4"/>
  <c r="C182" i="4"/>
  <c r="D182" i="4"/>
  <c r="F182" i="4"/>
  <c r="A183" i="4"/>
  <c r="B183" i="4"/>
  <c r="C183" i="4"/>
  <c r="D183" i="4"/>
  <c r="F183" i="4"/>
  <c r="A184" i="4"/>
  <c r="B184" i="4"/>
  <c r="C184" i="4"/>
  <c r="D184" i="4"/>
  <c r="F184" i="4"/>
  <c r="A185" i="4"/>
  <c r="B185" i="4"/>
  <c r="C185" i="4"/>
  <c r="D185" i="4"/>
  <c r="F185" i="4"/>
  <c r="A186" i="4"/>
  <c r="B186" i="4"/>
  <c r="C186" i="4"/>
  <c r="D186" i="4"/>
  <c r="F186" i="4"/>
  <c r="A187" i="4"/>
  <c r="B187" i="4"/>
  <c r="C187" i="4"/>
  <c r="D187" i="4"/>
  <c r="F187" i="4"/>
  <c r="A188" i="4"/>
  <c r="B188" i="4"/>
  <c r="C188" i="4"/>
  <c r="D188" i="4"/>
  <c r="F188" i="4"/>
  <c r="A189" i="4"/>
  <c r="B189" i="4"/>
  <c r="C189" i="4"/>
  <c r="D189" i="4"/>
  <c r="F189" i="4"/>
  <c r="A190" i="4"/>
  <c r="B190" i="4"/>
  <c r="C190" i="4"/>
  <c r="D190" i="4"/>
  <c r="F190" i="4"/>
  <c r="A191" i="4"/>
  <c r="B191" i="4"/>
  <c r="C191" i="4"/>
  <c r="D191" i="4"/>
  <c r="F191" i="4"/>
  <c r="A192" i="4"/>
  <c r="B192" i="4"/>
  <c r="C192" i="4"/>
  <c r="D192" i="4"/>
  <c r="F192" i="4"/>
  <c r="A193" i="4"/>
  <c r="B193" i="4"/>
  <c r="C193" i="4"/>
  <c r="D193" i="4"/>
  <c r="F193" i="4"/>
  <c r="A194" i="4"/>
  <c r="B194" i="4"/>
  <c r="C194" i="4"/>
  <c r="D194" i="4"/>
  <c r="F194" i="4"/>
  <c r="A195" i="4"/>
  <c r="B195" i="4"/>
  <c r="C195" i="4"/>
  <c r="D195" i="4"/>
  <c r="F195" i="4"/>
  <c r="A196" i="4"/>
  <c r="B196" i="4"/>
  <c r="C196" i="4"/>
  <c r="D196" i="4"/>
  <c r="F196" i="4"/>
  <c r="A197" i="4"/>
  <c r="B197" i="4"/>
  <c r="C197" i="4"/>
  <c r="D197" i="4"/>
  <c r="F197" i="4"/>
  <c r="A198" i="4"/>
  <c r="B198" i="4"/>
  <c r="C198" i="4"/>
  <c r="D198" i="4"/>
  <c r="F198" i="4"/>
  <c r="A199" i="4"/>
  <c r="B199" i="4"/>
  <c r="C199" i="4"/>
  <c r="D199" i="4"/>
  <c r="F199" i="4"/>
  <c r="A200" i="4"/>
  <c r="B200" i="4"/>
  <c r="C200" i="4"/>
  <c r="D200" i="4"/>
  <c r="F200" i="4"/>
  <c r="A201" i="4"/>
  <c r="B201" i="4"/>
  <c r="C201" i="4"/>
  <c r="D201" i="4"/>
  <c r="F201" i="4"/>
  <c r="A202" i="4"/>
  <c r="B202" i="4"/>
  <c r="C202" i="4"/>
  <c r="D202" i="4"/>
  <c r="F202" i="4"/>
  <c r="A203" i="4"/>
  <c r="B203" i="4"/>
  <c r="C203" i="4"/>
  <c r="D203" i="4"/>
  <c r="F203" i="4"/>
  <c r="A204" i="4"/>
  <c r="B204" i="4"/>
  <c r="C204" i="4"/>
  <c r="D204" i="4"/>
  <c r="F204" i="4"/>
  <c r="A205" i="4"/>
  <c r="B205" i="4"/>
  <c r="C205" i="4"/>
  <c r="D205" i="4"/>
  <c r="F205" i="4"/>
  <c r="A206" i="4"/>
  <c r="B206" i="4"/>
  <c r="C206" i="4"/>
  <c r="D206" i="4"/>
  <c r="F206" i="4"/>
  <c r="A207" i="4"/>
  <c r="B207" i="4"/>
  <c r="C207" i="4"/>
  <c r="D207" i="4"/>
  <c r="F207" i="4"/>
  <c r="A208" i="4"/>
  <c r="B208" i="4"/>
  <c r="C208" i="4"/>
  <c r="D208" i="4"/>
  <c r="F208" i="4"/>
  <c r="A209" i="4"/>
  <c r="B209" i="4"/>
  <c r="C209" i="4"/>
  <c r="D209" i="4"/>
  <c r="F209" i="4"/>
  <c r="A210" i="4"/>
  <c r="B210" i="4"/>
  <c r="C210" i="4"/>
  <c r="D210" i="4"/>
  <c r="F210" i="4"/>
  <c r="A211" i="4"/>
  <c r="B211" i="4"/>
  <c r="C211" i="4"/>
  <c r="D211" i="4"/>
  <c r="F211" i="4"/>
  <c r="A212" i="4"/>
  <c r="B212" i="4"/>
  <c r="C212" i="4"/>
  <c r="D212" i="4"/>
  <c r="F212" i="4"/>
  <c r="A213" i="4"/>
  <c r="B213" i="4"/>
  <c r="C213" i="4"/>
  <c r="D213" i="4"/>
  <c r="F213" i="4"/>
  <c r="A214" i="4"/>
  <c r="B214" i="4"/>
  <c r="C214" i="4"/>
  <c r="D214" i="4"/>
  <c r="F214" i="4"/>
  <c r="A215" i="4"/>
  <c r="B215" i="4"/>
  <c r="C215" i="4"/>
  <c r="D215" i="4"/>
  <c r="F215" i="4"/>
  <c r="A216" i="4"/>
  <c r="B216" i="4"/>
  <c r="C216" i="4"/>
  <c r="D216" i="4"/>
  <c r="F216" i="4"/>
  <c r="A217" i="4"/>
  <c r="B217" i="4"/>
  <c r="C217" i="4"/>
  <c r="D217" i="4"/>
  <c r="F217" i="4"/>
  <c r="A218" i="4"/>
  <c r="B218" i="4"/>
  <c r="C218" i="4"/>
  <c r="D218" i="4"/>
  <c r="F218" i="4"/>
  <c r="A219" i="4"/>
  <c r="B219" i="4"/>
  <c r="C219" i="4"/>
  <c r="D219" i="4"/>
  <c r="F219" i="4"/>
  <c r="A220" i="4"/>
  <c r="B220" i="4"/>
  <c r="C220" i="4"/>
  <c r="D220" i="4"/>
  <c r="F220" i="4"/>
  <c r="A221" i="4"/>
  <c r="B221" i="4"/>
  <c r="C221" i="4"/>
  <c r="D221" i="4"/>
  <c r="F221" i="4"/>
  <c r="A222" i="4"/>
  <c r="B222" i="4"/>
  <c r="C222" i="4"/>
  <c r="D222" i="4"/>
  <c r="F222" i="4"/>
  <c r="A223" i="4"/>
  <c r="B223" i="4"/>
  <c r="C223" i="4"/>
  <c r="D223" i="4"/>
  <c r="F223" i="4"/>
  <c r="A224" i="4"/>
  <c r="B224" i="4"/>
  <c r="C224" i="4"/>
  <c r="D224" i="4"/>
  <c r="F224" i="4"/>
  <c r="A225" i="4"/>
  <c r="B225" i="4"/>
  <c r="C225" i="4"/>
  <c r="D225" i="4"/>
  <c r="F225" i="4"/>
  <c r="A226" i="4"/>
  <c r="B226" i="4"/>
  <c r="C226" i="4"/>
  <c r="D226" i="4"/>
  <c r="F226" i="4"/>
  <c r="A227" i="4"/>
  <c r="B227" i="4"/>
  <c r="C227" i="4"/>
  <c r="D227" i="4"/>
  <c r="F227" i="4"/>
  <c r="A228" i="4"/>
  <c r="B228" i="4"/>
  <c r="C228" i="4"/>
  <c r="D228" i="4"/>
  <c r="F228" i="4"/>
  <c r="A229" i="4"/>
  <c r="B229" i="4"/>
  <c r="C229" i="4"/>
  <c r="D229" i="4"/>
  <c r="F229" i="4"/>
  <c r="A230" i="4"/>
  <c r="B230" i="4"/>
  <c r="C230" i="4"/>
  <c r="D230" i="4"/>
  <c r="F230" i="4"/>
  <c r="A231" i="4"/>
  <c r="B231" i="4"/>
  <c r="C231" i="4"/>
  <c r="D231" i="4"/>
  <c r="F231" i="4"/>
  <c r="A232" i="4"/>
  <c r="B232" i="4"/>
  <c r="C232" i="4"/>
  <c r="D232" i="4"/>
  <c r="F232" i="4"/>
  <c r="A233" i="4"/>
  <c r="B233" i="4"/>
  <c r="C233" i="4"/>
  <c r="D233" i="4"/>
  <c r="F233" i="4"/>
  <c r="A234" i="4"/>
  <c r="B234" i="4"/>
  <c r="C234" i="4"/>
  <c r="D234" i="4"/>
  <c r="F234" i="4"/>
  <c r="A235" i="4"/>
  <c r="B235" i="4"/>
  <c r="C235" i="4"/>
  <c r="D235" i="4"/>
  <c r="F235" i="4"/>
  <c r="A236" i="4"/>
  <c r="B236" i="4"/>
  <c r="C236" i="4"/>
  <c r="D236" i="4"/>
  <c r="F236" i="4"/>
  <c r="A237" i="4"/>
  <c r="B237" i="4"/>
  <c r="C237" i="4"/>
  <c r="D237" i="4"/>
  <c r="F237" i="4"/>
  <c r="A238" i="4"/>
  <c r="B238" i="4"/>
  <c r="C238" i="4"/>
  <c r="D238" i="4"/>
  <c r="F238" i="4"/>
  <c r="A239" i="4"/>
  <c r="B239" i="4"/>
  <c r="C239" i="4"/>
  <c r="D239" i="4"/>
  <c r="F239" i="4"/>
  <c r="A240" i="4"/>
  <c r="B240" i="4"/>
  <c r="C240" i="4"/>
  <c r="D240" i="4"/>
  <c r="F240" i="4"/>
  <c r="A241" i="4"/>
  <c r="B241" i="4"/>
  <c r="C241" i="4"/>
  <c r="D241" i="4"/>
  <c r="F241" i="4"/>
  <c r="A242" i="4"/>
  <c r="B242" i="4"/>
  <c r="C242" i="4"/>
  <c r="D242" i="4"/>
  <c r="F242" i="4"/>
  <c r="A243" i="4"/>
  <c r="B243" i="4"/>
  <c r="C243" i="4"/>
  <c r="D243" i="4"/>
  <c r="F243" i="4"/>
  <c r="A244" i="4"/>
  <c r="B244" i="4"/>
  <c r="C244" i="4"/>
  <c r="D244" i="4"/>
  <c r="F244" i="4"/>
  <c r="A245" i="4"/>
  <c r="B245" i="4"/>
  <c r="C245" i="4"/>
  <c r="D245" i="4"/>
  <c r="F245" i="4"/>
  <c r="A246" i="4"/>
  <c r="B246" i="4"/>
  <c r="C246" i="4"/>
  <c r="D246" i="4"/>
  <c r="F246" i="4"/>
  <c r="A247" i="4"/>
  <c r="B247" i="4"/>
  <c r="C247" i="4"/>
  <c r="D247" i="4"/>
  <c r="F247" i="4"/>
  <c r="A248" i="4"/>
  <c r="B248" i="4"/>
  <c r="C248" i="4"/>
  <c r="D248" i="4"/>
  <c r="F248" i="4"/>
  <c r="A249" i="4"/>
  <c r="B249" i="4"/>
  <c r="C249" i="4"/>
  <c r="D249" i="4"/>
  <c r="F249" i="4"/>
  <c r="A250" i="4"/>
  <c r="B250" i="4"/>
  <c r="C250" i="4"/>
  <c r="D250" i="4"/>
  <c r="F250" i="4"/>
  <c r="A251" i="4"/>
  <c r="B251" i="4"/>
  <c r="C251" i="4"/>
  <c r="D251" i="4"/>
  <c r="F251" i="4"/>
  <c r="A252" i="4"/>
  <c r="B252" i="4"/>
  <c r="C252" i="4"/>
  <c r="D252" i="4"/>
  <c r="F252" i="4"/>
  <c r="A253" i="4"/>
  <c r="B253" i="4"/>
  <c r="C253" i="4"/>
  <c r="D253" i="4"/>
  <c r="F253" i="4"/>
  <c r="A254" i="4"/>
  <c r="B254" i="4"/>
  <c r="C254" i="4"/>
  <c r="D254" i="4"/>
  <c r="F254" i="4"/>
  <c r="A255" i="4"/>
  <c r="B255" i="4"/>
  <c r="C255" i="4"/>
  <c r="D255" i="4"/>
  <c r="F255" i="4"/>
  <c r="A256" i="4"/>
  <c r="B256" i="4"/>
  <c r="C256" i="4"/>
  <c r="D256" i="4"/>
  <c r="F256" i="4"/>
  <c r="A257" i="4"/>
  <c r="B257" i="4"/>
  <c r="C257" i="4"/>
  <c r="D257" i="4"/>
  <c r="F257" i="4"/>
  <c r="A258" i="4"/>
  <c r="B258" i="4"/>
  <c r="C258" i="4"/>
  <c r="D258" i="4"/>
  <c r="F258" i="4"/>
  <c r="A259" i="4"/>
  <c r="B259" i="4"/>
  <c r="C259" i="4"/>
  <c r="D259" i="4"/>
  <c r="F259" i="4"/>
  <c r="A260" i="4"/>
  <c r="B260" i="4"/>
  <c r="C260" i="4"/>
  <c r="D260" i="4"/>
  <c r="F260" i="4"/>
  <c r="A261" i="4"/>
  <c r="B261" i="4"/>
  <c r="C261" i="4"/>
  <c r="D261" i="4"/>
  <c r="F261" i="4"/>
  <c r="A262" i="4"/>
  <c r="B262" i="4"/>
  <c r="C262" i="4"/>
  <c r="D262" i="4"/>
  <c r="F262" i="4"/>
  <c r="A263" i="4"/>
  <c r="B263" i="4"/>
  <c r="C263" i="4"/>
  <c r="D263" i="4"/>
  <c r="F263" i="4"/>
  <c r="A264" i="4"/>
  <c r="B264" i="4"/>
  <c r="C264" i="4"/>
  <c r="D264" i="4"/>
  <c r="F264" i="4"/>
  <c r="A265" i="4"/>
  <c r="B265" i="4"/>
  <c r="C265" i="4"/>
  <c r="D265" i="4"/>
  <c r="F265" i="4"/>
  <c r="A266" i="4"/>
  <c r="B266" i="4"/>
  <c r="C266" i="4"/>
  <c r="D266" i="4"/>
  <c r="F266" i="4"/>
  <c r="A267" i="4"/>
  <c r="B267" i="4"/>
  <c r="C267" i="4"/>
  <c r="D267" i="4"/>
  <c r="F267" i="4"/>
  <c r="A268" i="4"/>
  <c r="B268" i="4"/>
  <c r="C268" i="4"/>
  <c r="D268" i="4"/>
  <c r="F268" i="4"/>
  <c r="A269" i="4"/>
  <c r="B269" i="4"/>
  <c r="C269" i="4"/>
  <c r="D269" i="4"/>
  <c r="F269" i="4"/>
  <c r="A270" i="4"/>
  <c r="B270" i="4"/>
  <c r="C270" i="4"/>
  <c r="D270" i="4"/>
  <c r="F270" i="4"/>
  <c r="A271" i="4"/>
  <c r="B271" i="4"/>
  <c r="C271" i="4"/>
  <c r="D271" i="4"/>
  <c r="F271" i="4"/>
  <c r="A272" i="4"/>
  <c r="B272" i="4"/>
  <c r="C272" i="4"/>
  <c r="D272" i="4"/>
  <c r="F272" i="4"/>
  <c r="A273" i="4"/>
  <c r="B273" i="4"/>
  <c r="C273" i="4"/>
  <c r="D273" i="4"/>
  <c r="F273" i="4"/>
  <c r="A274" i="4"/>
  <c r="B274" i="4"/>
  <c r="C274" i="4"/>
  <c r="D274" i="4"/>
  <c r="F274" i="4"/>
  <c r="A275" i="4"/>
  <c r="B275" i="4"/>
  <c r="C275" i="4"/>
  <c r="D275" i="4"/>
  <c r="F275" i="4"/>
  <c r="A276" i="4"/>
  <c r="B276" i="4"/>
  <c r="C276" i="4"/>
  <c r="D276" i="4"/>
  <c r="F276" i="4"/>
  <c r="A277" i="4"/>
  <c r="B277" i="4"/>
  <c r="C277" i="4"/>
  <c r="D277" i="4"/>
  <c r="F277" i="4"/>
  <c r="A278" i="4"/>
  <c r="B278" i="4"/>
  <c r="C278" i="4"/>
  <c r="D278" i="4"/>
  <c r="F278" i="4"/>
  <c r="A279" i="4"/>
  <c r="B279" i="4"/>
  <c r="C279" i="4"/>
  <c r="D279" i="4"/>
  <c r="F279" i="4"/>
  <c r="A280" i="4"/>
  <c r="B280" i="4"/>
  <c r="C280" i="4"/>
  <c r="D280" i="4"/>
  <c r="F280" i="4"/>
  <c r="A281" i="4"/>
  <c r="B281" i="4"/>
  <c r="C281" i="4"/>
  <c r="D281" i="4"/>
  <c r="F281" i="4"/>
  <c r="A282" i="4"/>
  <c r="B282" i="4"/>
  <c r="C282" i="4"/>
  <c r="D282" i="4"/>
  <c r="F282" i="4"/>
  <c r="A283" i="4"/>
  <c r="B283" i="4"/>
  <c r="C283" i="4"/>
  <c r="D283" i="4"/>
  <c r="F283" i="4"/>
  <c r="A284" i="4"/>
  <c r="B284" i="4"/>
  <c r="C284" i="4"/>
  <c r="D284" i="4"/>
  <c r="F284" i="4"/>
  <c r="A285" i="4"/>
  <c r="B285" i="4"/>
  <c r="C285" i="4"/>
  <c r="D285" i="4"/>
  <c r="F285" i="4"/>
  <c r="A286" i="4"/>
  <c r="B286" i="4"/>
  <c r="C286" i="4"/>
  <c r="D286" i="4"/>
  <c r="F286" i="4"/>
  <c r="A287" i="4"/>
  <c r="B287" i="4"/>
  <c r="C287" i="4"/>
  <c r="D287" i="4"/>
  <c r="F287" i="4"/>
  <c r="A288" i="4"/>
  <c r="B288" i="4"/>
  <c r="C288" i="4"/>
  <c r="D288" i="4"/>
  <c r="F288" i="4"/>
  <c r="A289" i="4"/>
  <c r="B289" i="4"/>
  <c r="C289" i="4"/>
  <c r="D289" i="4"/>
  <c r="F289" i="4"/>
  <c r="A290" i="4"/>
  <c r="B290" i="4"/>
  <c r="C290" i="4"/>
  <c r="D290" i="4"/>
  <c r="F290" i="4"/>
  <c r="A291" i="4"/>
  <c r="B291" i="4"/>
  <c r="C291" i="4"/>
  <c r="D291" i="4"/>
  <c r="F291" i="4"/>
  <c r="A292" i="4"/>
  <c r="B292" i="4"/>
  <c r="C292" i="4"/>
  <c r="D292" i="4"/>
  <c r="F292" i="4"/>
  <c r="A293" i="4"/>
  <c r="B293" i="4"/>
  <c r="C293" i="4"/>
  <c r="D293" i="4"/>
  <c r="F293" i="4"/>
  <c r="A294" i="4"/>
  <c r="B294" i="4"/>
  <c r="C294" i="4"/>
  <c r="D294" i="4"/>
  <c r="F294" i="4"/>
  <c r="A295" i="4"/>
  <c r="B295" i="4"/>
  <c r="C295" i="4"/>
  <c r="D295" i="4"/>
  <c r="F295" i="4"/>
  <c r="A296" i="4"/>
  <c r="B296" i="4"/>
  <c r="C296" i="4"/>
  <c r="D296" i="4"/>
  <c r="F296" i="4"/>
  <c r="A297" i="4"/>
  <c r="B297" i="4"/>
  <c r="C297" i="4"/>
  <c r="D297" i="4"/>
  <c r="F297" i="4"/>
  <c r="A298" i="4"/>
  <c r="B298" i="4"/>
  <c r="C298" i="4"/>
  <c r="D298" i="4"/>
  <c r="F298" i="4"/>
  <c r="A299" i="4"/>
  <c r="B299" i="4"/>
  <c r="C299" i="4"/>
  <c r="D299" i="4"/>
  <c r="F299" i="4"/>
  <c r="A300" i="4"/>
  <c r="B300" i="4"/>
  <c r="C300" i="4"/>
  <c r="D300" i="4"/>
  <c r="F300" i="4"/>
  <c r="A301" i="4"/>
  <c r="B301" i="4"/>
  <c r="C301" i="4"/>
  <c r="D301" i="4"/>
  <c r="F301" i="4"/>
  <c r="A302" i="4"/>
  <c r="B302" i="4"/>
  <c r="C302" i="4"/>
  <c r="D302" i="4"/>
  <c r="F302" i="4"/>
  <c r="A303" i="4"/>
  <c r="B303" i="4"/>
  <c r="C303" i="4"/>
  <c r="D303" i="4"/>
  <c r="F303" i="4"/>
  <c r="A304" i="4"/>
  <c r="B304" i="4"/>
  <c r="C304" i="4"/>
  <c r="D304" i="4"/>
  <c r="F304" i="4"/>
  <c r="A305" i="4"/>
  <c r="B305" i="4"/>
  <c r="C305" i="4"/>
  <c r="D305" i="4"/>
  <c r="F305" i="4"/>
  <c r="A306" i="4"/>
  <c r="B306" i="4"/>
  <c r="C306" i="4"/>
  <c r="D306" i="4"/>
  <c r="F306" i="4"/>
  <c r="A307" i="4"/>
  <c r="B307" i="4"/>
  <c r="C307" i="4"/>
  <c r="D307" i="4"/>
  <c r="F307" i="4"/>
  <c r="A308" i="4"/>
  <c r="B308" i="4"/>
  <c r="C308" i="4"/>
  <c r="D308" i="4"/>
  <c r="F308" i="4"/>
  <c r="A309" i="4"/>
  <c r="B309" i="4"/>
  <c r="C309" i="4"/>
  <c r="D309" i="4"/>
  <c r="F309" i="4"/>
  <c r="A310" i="4"/>
  <c r="B310" i="4"/>
  <c r="C310" i="4"/>
  <c r="D310" i="4"/>
  <c r="F310" i="4"/>
  <c r="A311" i="4"/>
  <c r="B311" i="4"/>
  <c r="C311" i="4"/>
  <c r="D311" i="4"/>
  <c r="F311" i="4"/>
  <c r="A312" i="4"/>
  <c r="B312" i="4"/>
  <c r="C312" i="4"/>
  <c r="D312" i="4"/>
  <c r="F312" i="4"/>
  <c r="A313" i="4"/>
  <c r="B313" i="4"/>
  <c r="C313" i="4"/>
  <c r="D313" i="4"/>
  <c r="F313" i="4"/>
  <c r="A314" i="4"/>
  <c r="B314" i="4"/>
  <c r="C314" i="4"/>
  <c r="D314" i="4"/>
  <c r="F314" i="4"/>
  <c r="A315" i="4"/>
  <c r="B315" i="4"/>
  <c r="C315" i="4"/>
  <c r="D315" i="4"/>
  <c r="F315" i="4"/>
  <c r="A316" i="4"/>
  <c r="B316" i="4"/>
  <c r="C316" i="4"/>
  <c r="D316" i="4"/>
  <c r="F316" i="4"/>
  <c r="A317" i="4"/>
  <c r="B317" i="4"/>
  <c r="C317" i="4"/>
  <c r="D317" i="4"/>
  <c r="F317" i="4"/>
  <c r="A318" i="4"/>
  <c r="B318" i="4"/>
  <c r="C318" i="4"/>
  <c r="D318" i="4"/>
  <c r="F318" i="4"/>
  <c r="A319" i="4"/>
  <c r="B319" i="4"/>
  <c r="C319" i="4"/>
  <c r="D319" i="4"/>
  <c r="F319" i="4"/>
  <c r="A320" i="4"/>
  <c r="B320" i="4"/>
  <c r="C320" i="4"/>
  <c r="D320" i="4"/>
  <c r="F320" i="4"/>
  <c r="A321" i="4"/>
  <c r="B321" i="4"/>
  <c r="C321" i="4"/>
  <c r="D321" i="4"/>
  <c r="F321" i="4"/>
  <c r="A322" i="4"/>
  <c r="B322" i="4"/>
  <c r="C322" i="4"/>
  <c r="D322" i="4"/>
  <c r="F322" i="4"/>
  <c r="A323" i="4"/>
  <c r="B323" i="4"/>
  <c r="C323" i="4"/>
  <c r="D323" i="4"/>
  <c r="F323" i="4"/>
  <c r="A324" i="4"/>
  <c r="B324" i="4"/>
  <c r="C324" i="4"/>
  <c r="D324" i="4"/>
  <c r="F324" i="4"/>
  <c r="A325" i="4"/>
  <c r="B325" i="4"/>
  <c r="C325" i="4"/>
  <c r="D325" i="4"/>
  <c r="F325" i="4"/>
  <c r="A326" i="4"/>
  <c r="B326" i="4"/>
  <c r="C326" i="4"/>
  <c r="D326" i="4"/>
  <c r="F326" i="4"/>
  <c r="A327" i="4"/>
  <c r="B327" i="4"/>
  <c r="C327" i="4"/>
  <c r="D327" i="4"/>
  <c r="F327" i="4"/>
  <c r="A328" i="4"/>
  <c r="B328" i="4"/>
  <c r="C328" i="4"/>
  <c r="D328" i="4"/>
  <c r="F328" i="4"/>
  <c r="A329" i="4"/>
  <c r="B329" i="4"/>
  <c r="C329" i="4"/>
  <c r="D329" i="4"/>
  <c r="F329" i="4"/>
  <c r="A330" i="4"/>
  <c r="B330" i="4"/>
  <c r="C330" i="4"/>
  <c r="D330" i="4"/>
  <c r="F330" i="4"/>
  <c r="A331" i="4"/>
  <c r="B331" i="4"/>
  <c r="C331" i="4"/>
  <c r="D331" i="4"/>
  <c r="F331" i="4"/>
  <c r="A332" i="4"/>
  <c r="B332" i="4"/>
  <c r="C332" i="4"/>
  <c r="D332" i="4"/>
  <c r="F332" i="4"/>
  <c r="A333" i="4"/>
  <c r="B333" i="4"/>
  <c r="C333" i="4"/>
  <c r="D333" i="4"/>
  <c r="F333" i="4"/>
  <c r="A334" i="4"/>
  <c r="B334" i="4"/>
  <c r="C334" i="4"/>
  <c r="D334" i="4"/>
  <c r="F334" i="4"/>
  <c r="A335" i="4"/>
  <c r="B335" i="4"/>
  <c r="C335" i="4"/>
  <c r="D335" i="4"/>
  <c r="F335" i="4"/>
  <c r="A336" i="4"/>
  <c r="B336" i="4"/>
  <c r="C336" i="4"/>
  <c r="D336" i="4"/>
  <c r="F336" i="4"/>
  <c r="A337" i="4"/>
  <c r="B337" i="4"/>
  <c r="C337" i="4"/>
  <c r="D337" i="4"/>
  <c r="F337" i="4"/>
  <c r="A338" i="4"/>
  <c r="B338" i="4"/>
  <c r="C338" i="4"/>
  <c r="D338" i="4"/>
  <c r="F338" i="4"/>
  <c r="A339" i="4"/>
  <c r="B339" i="4"/>
  <c r="C339" i="4"/>
  <c r="D339" i="4"/>
  <c r="F339" i="4"/>
  <c r="A340" i="4"/>
  <c r="B340" i="4"/>
  <c r="C340" i="4"/>
  <c r="D340" i="4"/>
  <c r="F340" i="4"/>
  <c r="A341" i="4"/>
  <c r="B341" i="4"/>
  <c r="C341" i="4"/>
  <c r="D341" i="4"/>
  <c r="F341" i="4"/>
  <c r="A342" i="4"/>
  <c r="B342" i="4"/>
  <c r="C342" i="4"/>
  <c r="D342" i="4"/>
  <c r="F342" i="4"/>
  <c r="A343" i="4"/>
  <c r="B343" i="4"/>
  <c r="C343" i="4"/>
  <c r="D343" i="4"/>
  <c r="F343" i="4"/>
  <c r="A344" i="4"/>
  <c r="B344" i="4"/>
  <c r="C344" i="4"/>
  <c r="D344" i="4"/>
  <c r="F344" i="4"/>
  <c r="A345" i="4"/>
  <c r="B345" i="4"/>
  <c r="C345" i="4"/>
  <c r="D345" i="4"/>
  <c r="F345" i="4"/>
  <c r="A346" i="4"/>
  <c r="B346" i="4"/>
  <c r="C346" i="4"/>
  <c r="D346" i="4"/>
  <c r="F346" i="4"/>
  <c r="A347" i="4"/>
  <c r="B347" i="4"/>
  <c r="C347" i="4"/>
  <c r="D347" i="4"/>
  <c r="F347" i="4"/>
  <c r="A348" i="4"/>
  <c r="B348" i="4"/>
  <c r="C348" i="4"/>
  <c r="D348" i="4"/>
  <c r="F348" i="4"/>
  <c r="A349" i="4"/>
  <c r="B349" i="4"/>
  <c r="C349" i="4"/>
  <c r="D349" i="4"/>
  <c r="F349" i="4"/>
  <c r="A350" i="4"/>
  <c r="B350" i="4"/>
  <c r="C350" i="4"/>
  <c r="D350" i="4"/>
  <c r="F350" i="4"/>
  <c r="A351" i="4"/>
  <c r="B351" i="4"/>
  <c r="C351" i="4"/>
  <c r="D351" i="4"/>
  <c r="F351" i="4"/>
  <c r="A352" i="4"/>
  <c r="B352" i="4"/>
  <c r="C352" i="4"/>
  <c r="D352" i="4"/>
  <c r="F352" i="4"/>
  <c r="A353" i="4"/>
  <c r="B353" i="4"/>
  <c r="C353" i="4"/>
  <c r="D353" i="4"/>
  <c r="F353" i="4"/>
  <c r="A354" i="4"/>
  <c r="B354" i="4"/>
  <c r="C354" i="4"/>
  <c r="D354" i="4"/>
  <c r="F354" i="4"/>
  <c r="A355" i="4"/>
  <c r="B355" i="4"/>
  <c r="C355" i="4"/>
  <c r="D355" i="4"/>
  <c r="F355" i="4"/>
  <c r="A356" i="4"/>
  <c r="B356" i="4"/>
  <c r="C356" i="4"/>
  <c r="D356" i="4"/>
  <c r="F356" i="4"/>
  <c r="A357" i="4"/>
  <c r="B357" i="4"/>
  <c r="C357" i="4"/>
  <c r="D357" i="4"/>
  <c r="F357" i="4"/>
  <c r="A358" i="4"/>
  <c r="B358" i="4"/>
  <c r="C358" i="4"/>
  <c r="D358" i="4"/>
  <c r="F358" i="4"/>
  <c r="A359" i="4"/>
  <c r="B359" i="4"/>
  <c r="C359" i="4"/>
  <c r="D359" i="4"/>
  <c r="F359" i="4"/>
  <c r="A360" i="4"/>
  <c r="B360" i="4"/>
  <c r="C360" i="4"/>
  <c r="D360" i="4"/>
  <c r="F360" i="4"/>
  <c r="A361" i="4"/>
  <c r="B361" i="4"/>
  <c r="C361" i="4"/>
  <c r="D361" i="4"/>
  <c r="F361" i="4"/>
  <c r="A362" i="4"/>
  <c r="B362" i="4"/>
  <c r="C362" i="4"/>
  <c r="D362" i="4"/>
  <c r="F362" i="4"/>
  <c r="A363" i="4"/>
  <c r="B363" i="4"/>
  <c r="C363" i="4"/>
  <c r="D363" i="4"/>
  <c r="F363" i="4"/>
  <c r="A364" i="4"/>
  <c r="B364" i="4"/>
  <c r="C364" i="4"/>
  <c r="D364" i="4"/>
  <c r="F364" i="4"/>
  <c r="A365" i="4"/>
  <c r="B365" i="4"/>
  <c r="C365" i="4"/>
  <c r="D365" i="4"/>
  <c r="F365" i="4"/>
  <c r="A366" i="4"/>
  <c r="B366" i="4"/>
  <c r="C366" i="4"/>
  <c r="D366" i="4"/>
  <c r="F366" i="4"/>
  <c r="A367" i="4"/>
  <c r="B367" i="4"/>
  <c r="C367" i="4"/>
  <c r="D367" i="4"/>
  <c r="F367" i="4"/>
  <c r="A368" i="4"/>
  <c r="B368" i="4"/>
  <c r="C368" i="4"/>
  <c r="D368" i="4"/>
  <c r="F368" i="4"/>
  <c r="A369" i="4"/>
  <c r="B369" i="4"/>
  <c r="C369" i="4"/>
  <c r="D369" i="4"/>
  <c r="F369" i="4"/>
  <c r="A370" i="4"/>
  <c r="B370" i="4"/>
  <c r="C370" i="4"/>
  <c r="D370" i="4"/>
  <c r="F370" i="4"/>
  <c r="A371" i="4"/>
  <c r="B371" i="4"/>
  <c r="C371" i="4"/>
  <c r="D371" i="4"/>
  <c r="F371" i="4"/>
  <c r="A372" i="4"/>
  <c r="B372" i="4"/>
  <c r="C372" i="4"/>
  <c r="D372" i="4"/>
  <c r="F372" i="4"/>
  <c r="A373" i="4"/>
  <c r="B373" i="4"/>
  <c r="C373" i="4"/>
  <c r="D373" i="4"/>
  <c r="F373" i="4"/>
  <c r="A374" i="4"/>
  <c r="B374" i="4"/>
  <c r="C374" i="4"/>
  <c r="D374" i="4"/>
  <c r="F374" i="4"/>
  <c r="A375" i="4"/>
  <c r="B375" i="4"/>
  <c r="C375" i="4"/>
  <c r="D375" i="4"/>
  <c r="F375" i="4"/>
  <c r="A376" i="4"/>
  <c r="B376" i="4"/>
  <c r="C376" i="4"/>
  <c r="D376" i="4"/>
  <c r="F376" i="4"/>
  <c r="A377" i="4"/>
  <c r="B377" i="4"/>
  <c r="C377" i="4"/>
  <c r="D377" i="4"/>
  <c r="F377" i="4"/>
  <c r="A378" i="4"/>
  <c r="B378" i="4"/>
  <c r="C378" i="4"/>
  <c r="D378" i="4"/>
  <c r="F378" i="4"/>
  <c r="A379" i="4"/>
  <c r="B379" i="4"/>
  <c r="C379" i="4"/>
  <c r="D379" i="4"/>
  <c r="F379" i="4"/>
  <c r="A380" i="4"/>
  <c r="B380" i="4"/>
  <c r="C380" i="4"/>
  <c r="D380" i="4"/>
  <c r="F380" i="4"/>
  <c r="A381" i="4"/>
  <c r="B381" i="4"/>
  <c r="C381" i="4"/>
  <c r="D381" i="4"/>
  <c r="F381" i="4"/>
  <c r="A382" i="4"/>
  <c r="B382" i="4"/>
  <c r="C382" i="4"/>
  <c r="D382" i="4"/>
  <c r="F382" i="4"/>
  <c r="A383" i="4"/>
  <c r="B383" i="4"/>
  <c r="C383" i="4"/>
  <c r="D383" i="4"/>
  <c r="F383" i="4"/>
  <c r="A384" i="4"/>
  <c r="B384" i="4"/>
  <c r="C384" i="4"/>
  <c r="D384" i="4"/>
  <c r="F384" i="4"/>
  <c r="A385" i="4"/>
  <c r="B385" i="4"/>
  <c r="C385" i="4"/>
  <c r="D385" i="4"/>
  <c r="F385" i="4"/>
  <c r="A386" i="4"/>
  <c r="B386" i="4"/>
  <c r="C386" i="4"/>
  <c r="D386" i="4"/>
  <c r="F386" i="4"/>
  <c r="A387" i="4"/>
  <c r="B387" i="4"/>
  <c r="C387" i="4"/>
  <c r="D387" i="4"/>
  <c r="F387" i="4"/>
  <c r="A388" i="4"/>
  <c r="B388" i="4"/>
  <c r="C388" i="4"/>
  <c r="D388" i="4"/>
  <c r="F388" i="4"/>
  <c r="A389" i="4"/>
  <c r="B389" i="4"/>
  <c r="C389" i="4"/>
  <c r="D389" i="4"/>
  <c r="F389" i="4"/>
  <c r="A390" i="4"/>
  <c r="B390" i="4"/>
  <c r="C390" i="4"/>
  <c r="D390" i="4"/>
  <c r="F390" i="4"/>
  <c r="A391" i="4"/>
  <c r="B391" i="4"/>
  <c r="C391" i="4"/>
  <c r="D391" i="4"/>
  <c r="F391" i="4"/>
  <c r="A392" i="4"/>
  <c r="B392" i="4"/>
  <c r="C392" i="4"/>
  <c r="D392" i="4"/>
  <c r="F392" i="4"/>
  <c r="A393" i="4"/>
  <c r="B393" i="4"/>
  <c r="C393" i="4"/>
  <c r="D393" i="4"/>
  <c r="F393" i="4"/>
  <c r="A394" i="4"/>
  <c r="B394" i="4"/>
  <c r="C394" i="4"/>
  <c r="D394" i="4"/>
  <c r="F394" i="4"/>
  <c r="A395" i="4"/>
  <c r="B395" i="4"/>
  <c r="C395" i="4"/>
  <c r="D395" i="4"/>
  <c r="F395" i="4"/>
  <c r="A396" i="4"/>
  <c r="B396" i="4"/>
  <c r="C396" i="4"/>
  <c r="D396" i="4"/>
  <c r="F396" i="4"/>
  <c r="A397" i="4"/>
  <c r="B397" i="4"/>
  <c r="C397" i="4"/>
  <c r="D397" i="4"/>
  <c r="F397" i="4"/>
  <c r="A398" i="4"/>
  <c r="B398" i="4"/>
  <c r="C398" i="4"/>
  <c r="D398" i="4"/>
  <c r="F398" i="4"/>
  <c r="A399" i="4"/>
  <c r="B399" i="4"/>
  <c r="C399" i="4"/>
  <c r="D399" i="4"/>
  <c r="F399" i="4"/>
  <c r="A400" i="4"/>
  <c r="B400" i="4"/>
  <c r="C400" i="4"/>
  <c r="D400" i="4"/>
  <c r="F400" i="4"/>
  <c r="A401" i="4"/>
  <c r="B401" i="4"/>
  <c r="C401" i="4"/>
  <c r="D401" i="4"/>
  <c r="F401" i="4"/>
  <c r="A402" i="4"/>
  <c r="B402" i="4"/>
  <c r="C402" i="4"/>
  <c r="D402" i="4"/>
  <c r="F402" i="4"/>
  <c r="A403" i="4"/>
  <c r="B403" i="4"/>
  <c r="C403" i="4"/>
  <c r="D403" i="4"/>
  <c r="F403" i="4"/>
  <c r="A404" i="4"/>
  <c r="B404" i="4"/>
  <c r="C404" i="4"/>
  <c r="D404" i="4"/>
  <c r="F404" i="4"/>
  <c r="A405" i="4"/>
  <c r="B405" i="4"/>
  <c r="C405" i="4"/>
  <c r="D405" i="4"/>
  <c r="F405" i="4"/>
  <c r="A406" i="4"/>
  <c r="B406" i="4"/>
  <c r="C406" i="4"/>
  <c r="D406" i="4"/>
  <c r="F406" i="4"/>
  <c r="A407" i="4"/>
  <c r="B407" i="4"/>
  <c r="C407" i="4"/>
  <c r="D407" i="4"/>
  <c r="F407" i="4"/>
  <c r="A408" i="4"/>
  <c r="B408" i="4"/>
  <c r="C408" i="4"/>
  <c r="D408" i="4"/>
  <c r="F408" i="4"/>
  <c r="A409" i="4"/>
  <c r="B409" i="4"/>
  <c r="C409" i="4"/>
  <c r="D409" i="4"/>
  <c r="F409" i="4"/>
  <c r="A410" i="4"/>
  <c r="B410" i="4"/>
  <c r="C410" i="4"/>
  <c r="D410" i="4"/>
  <c r="F410" i="4"/>
  <c r="A411" i="4"/>
  <c r="B411" i="4"/>
  <c r="C411" i="4"/>
  <c r="D411" i="4"/>
  <c r="F411" i="4"/>
  <c r="A412" i="4"/>
  <c r="B412" i="4"/>
  <c r="C412" i="4"/>
  <c r="D412" i="4"/>
  <c r="F412" i="4"/>
  <c r="A413" i="4"/>
  <c r="B413" i="4"/>
  <c r="C413" i="4"/>
  <c r="D413" i="4"/>
  <c r="F413" i="4"/>
  <c r="A414" i="4"/>
  <c r="B414" i="4"/>
  <c r="C414" i="4"/>
  <c r="D414" i="4"/>
  <c r="F414" i="4"/>
  <c r="A415" i="4"/>
  <c r="B415" i="4"/>
  <c r="C415" i="4"/>
  <c r="D415" i="4"/>
  <c r="F415" i="4"/>
  <c r="A416" i="4"/>
  <c r="B416" i="4"/>
  <c r="C416" i="4"/>
  <c r="D416" i="4"/>
  <c r="F416" i="4"/>
  <c r="A417" i="4"/>
  <c r="B417" i="4"/>
  <c r="C417" i="4"/>
  <c r="D417" i="4"/>
  <c r="F417" i="4"/>
  <c r="A418" i="4"/>
  <c r="B418" i="4"/>
  <c r="C418" i="4"/>
  <c r="D418" i="4"/>
  <c r="F418" i="4"/>
  <c r="A419" i="4"/>
  <c r="B419" i="4"/>
  <c r="C419" i="4"/>
  <c r="D419" i="4"/>
  <c r="F419" i="4"/>
  <c r="A420" i="4"/>
  <c r="B420" i="4"/>
  <c r="C420" i="4"/>
  <c r="D420" i="4"/>
  <c r="F420" i="4"/>
  <c r="A421" i="4"/>
  <c r="B421" i="4"/>
  <c r="C421" i="4"/>
  <c r="D421" i="4"/>
  <c r="F421" i="4"/>
  <c r="A422" i="4"/>
  <c r="B422" i="4"/>
  <c r="C422" i="4"/>
  <c r="D422" i="4"/>
  <c r="F422" i="4"/>
  <c r="A423" i="4"/>
  <c r="B423" i="4"/>
  <c r="C423" i="4"/>
  <c r="D423" i="4"/>
  <c r="F423" i="4"/>
  <c r="A424" i="4"/>
  <c r="B424" i="4"/>
  <c r="C424" i="4"/>
  <c r="D424" i="4"/>
  <c r="F424" i="4"/>
  <c r="A425" i="4"/>
  <c r="B425" i="4"/>
  <c r="C425" i="4"/>
  <c r="D425" i="4"/>
  <c r="F425" i="4"/>
  <c r="A426" i="4"/>
  <c r="B426" i="4"/>
  <c r="C426" i="4"/>
  <c r="D426" i="4"/>
  <c r="F426" i="4"/>
  <c r="A427" i="4"/>
  <c r="B427" i="4"/>
  <c r="C427" i="4"/>
  <c r="D427" i="4"/>
  <c r="F427" i="4"/>
  <c r="A428" i="4"/>
  <c r="B428" i="4"/>
  <c r="C428" i="4"/>
  <c r="D428" i="4"/>
  <c r="F428" i="4"/>
  <c r="A429" i="4"/>
  <c r="B429" i="4"/>
  <c r="C429" i="4"/>
  <c r="D429" i="4"/>
  <c r="F429" i="4"/>
  <c r="A430" i="4"/>
  <c r="B430" i="4"/>
  <c r="C430" i="4"/>
  <c r="D430" i="4"/>
  <c r="F430" i="4"/>
  <c r="A431" i="4"/>
  <c r="B431" i="4"/>
  <c r="C431" i="4"/>
  <c r="D431" i="4"/>
  <c r="F431" i="4"/>
  <c r="A432" i="4"/>
  <c r="B432" i="4"/>
  <c r="C432" i="4"/>
  <c r="D432" i="4"/>
  <c r="F432" i="4"/>
  <c r="A433" i="4"/>
  <c r="B433" i="4"/>
  <c r="C433" i="4"/>
  <c r="D433" i="4"/>
  <c r="F433" i="4"/>
  <c r="A434" i="4"/>
  <c r="B434" i="4"/>
  <c r="C434" i="4"/>
  <c r="D434" i="4"/>
  <c r="F434" i="4"/>
  <c r="A435" i="4"/>
  <c r="B435" i="4"/>
  <c r="C435" i="4"/>
  <c r="D435" i="4"/>
  <c r="F435" i="4"/>
  <c r="A436" i="4"/>
  <c r="B436" i="4"/>
  <c r="C436" i="4"/>
  <c r="D436" i="4"/>
  <c r="F436" i="4"/>
  <c r="A437" i="4"/>
  <c r="B437" i="4"/>
  <c r="C437" i="4"/>
  <c r="D437" i="4"/>
  <c r="F437" i="4"/>
  <c r="A438" i="4"/>
  <c r="B438" i="4"/>
  <c r="C438" i="4"/>
  <c r="D438" i="4"/>
  <c r="F438" i="4"/>
  <c r="A439" i="4"/>
  <c r="B439" i="4"/>
  <c r="C439" i="4"/>
  <c r="D439" i="4"/>
  <c r="F439" i="4"/>
  <c r="A440" i="4"/>
  <c r="B440" i="4"/>
  <c r="C440" i="4"/>
  <c r="D440" i="4"/>
  <c r="F440" i="4"/>
  <c r="A441" i="4"/>
  <c r="B441" i="4"/>
  <c r="C441" i="4"/>
  <c r="D441" i="4"/>
  <c r="F441" i="4"/>
  <c r="A442" i="4"/>
  <c r="B442" i="4"/>
  <c r="C442" i="4"/>
  <c r="D442" i="4"/>
  <c r="F442" i="4"/>
  <c r="A443" i="4"/>
  <c r="B443" i="4"/>
  <c r="C443" i="4"/>
  <c r="D443" i="4"/>
  <c r="F443" i="4"/>
  <c r="A444" i="4"/>
  <c r="B444" i="4"/>
  <c r="C444" i="4"/>
  <c r="D444" i="4"/>
  <c r="F444" i="4"/>
  <c r="A445" i="4"/>
  <c r="B445" i="4"/>
  <c r="C445" i="4"/>
  <c r="D445" i="4"/>
  <c r="F445" i="4"/>
  <c r="A446" i="4"/>
  <c r="B446" i="4"/>
  <c r="C446" i="4"/>
  <c r="D446" i="4"/>
  <c r="F446" i="4"/>
  <c r="A447" i="4"/>
  <c r="B447" i="4"/>
  <c r="C447" i="4"/>
  <c r="D447" i="4"/>
  <c r="F447" i="4"/>
  <c r="A448" i="4"/>
  <c r="B448" i="4"/>
  <c r="C448" i="4"/>
  <c r="D448" i="4"/>
  <c r="F448" i="4"/>
  <c r="A449" i="4"/>
  <c r="B449" i="4"/>
  <c r="C449" i="4"/>
  <c r="D449" i="4"/>
  <c r="F449" i="4"/>
  <c r="A450" i="4"/>
  <c r="B450" i="4"/>
  <c r="C450" i="4"/>
  <c r="D450" i="4"/>
  <c r="F450" i="4"/>
  <c r="A451" i="4"/>
  <c r="B451" i="4"/>
  <c r="C451" i="4"/>
  <c r="D451" i="4"/>
  <c r="F451" i="4"/>
  <c r="A452" i="4"/>
  <c r="B452" i="4"/>
  <c r="C452" i="4"/>
  <c r="D452" i="4"/>
  <c r="F452" i="4"/>
  <c r="A453" i="4"/>
  <c r="B453" i="4"/>
  <c r="C453" i="4"/>
  <c r="D453" i="4"/>
  <c r="F453" i="4"/>
  <c r="A454" i="4"/>
  <c r="B454" i="4"/>
  <c r="C454" i="4"/>
  <c r="D454" i="4"/>
  <c r="F454" i="4"/>
  <c r="A455" i="4"/>
  <c r="B455" i="4"/>
  <c r="C455" i="4"/>
  <c r="D455" i="4"/>
  <c r="F455" i="4"/>
  <c r="A456" i="4"/>
  <c r="B456" i="4"/>
  <c r="C456" i="4"/>
  <c r="D456" i="4"/>
  <c r="F456" i="4"/>
  <c r="A457" i="4"/>
  <c r="B457" i="4"/>
  <c r="C457" i="4"/>
  <c r="D457" i="4"/>
  <c r="F457" i="4"/>
  <c r="A458" i="4"/>
  <c r="B458" i="4"/>
  <c r="C458" i="4"/>
  <c r="D458" i="4"/>
  <c r="F458" i="4"/>
  <c r="A459" i="4"/>
  <c r="B459" i="4"/>
  <c r="C459" i="4"/>
  <c r="D459" i="4"/>
  <c r="F459" i="4"/>
  <c r="A460" i="4"/>
  <c r="B460" i="4"/>
  <c r="C460" i="4"/>
  <c r="D460" i="4"/>
  <c r="F460" i="4"/>
  <c r="A461" i="4"/>
  <c r="B461" i="4"/>
  <c r="C461" i="4"/>
  <c r="D461" i="4"/>
  <c r="F461" i="4"/>
  <c r="A462" i="4"/>
  <c r="B462" i="4"/>
  <c r="C462" i="4"/>
  <c r="D462" i="4"/>
  <c r="F462" i="4"/>
  <c r="A463" i="4"/>
  <c r="B463" i="4"/>
  <c r="C463" i="4"/>
  <c r="D463" i="4"/>
  <c r="F463" i="4"/>
  <c r="A464" i="4"/>
  <c r="B464" i="4"/>
  <c r="C464" i="4"/>
  <c r="D464" i="4"/>
  <c r="F464" i="4"/>
  <c r="A465" i="4"/>
  <c r="B465" i="4"/>
  <c r="C465" i="4"/>
  <c r="D465" i="4"/>
  <c r="F465" i="4"/>
  <c r="A466" i="4"/>
  <c r="B466" i="4"/>
  <c r="C466" i="4"/>
  <c r="D466" i="4"/>
  <c r="F466" i="4"/>
  <c r="A467" i="4"/>
  <c r="B467" i="4"/>
  <c r="C467" i="4"/>
  <c r="D467" i="4"/>
  <c r="F467" i="4"/>
  <c r="A468" i="4"/>
  <c r="B468" i="4"/>
  <c r="C468" i="4"/>
  <c r="D468" i="4"/>
  <c r="F468" i="4"/>
  <c r="A469" i="4"/>
  <c r="B469" i="4"/>
  <c r="C469" i="4"/>
  <c r="D469" i="4"/>
  <c r="F469" i="4"/>
  <c r="A470" i="4"/>
  <c r="B470" i="4"/>
  <c r="C470" i="4"/>
  <c r="D470" i="4"/>
  <c r="F470" i="4"/>
  <c r="A471" i="4"/>
  <c r="B471" i="4"/>
  <c r="C471" i="4"/>
  <c r="D471" i="4"/>
  <c r="F471" i="4"/>
  <c r="A472" i="4"/>
  <c r="B472" i="4"/>
  <c r="C472" i="4"/>
  <c r="D472" i="4"/>
  <c r="F472" i="4"/>
  <c r="A473" i="4"/>
  <c r="B473" i="4"/>
  <c r="C473" i="4"/>
  <c r="D473" i="4"/>
  <c r="F473" i="4"/>
  <c r="A474" i="4"/>
  <c r="B474" i="4"/>
  <c r="C474" i="4"/>
  <c r="D474" i="4"/>
  <c r="F474" i="4"/>
  <c r="A475" i="4"/>
  <c r="B475" i="4"/>
  <c r="C475" i="4"/>
  <c r="D475" i="4"/>
  <c r="F475" i="4"/>
  <c r="A476" i="4"/>
  <c r="B476" i="4"/>
  <c r="C476" i="4"/>
  <c r="D476" i="4"/>
  <c r="F476" i="4"/>
  <c r="A477" i="4"/>
  <c r="B477" i="4"/>
  <c r="C477" i="4"/>
  <c r="D477" i="4"/>
  <c r="F477" i="4"/>
  <c r="A478" i="4"/>
  <c r="B478" i="4"/>
  <c r="C478" i="4"/>
  <c r="D478" i="4"/>
  <c r="F478" i="4"/>
  <c r="A479" i="4"/>
  <c r="B479" i="4"/>
  <c r="C479" i="4"/>
  <c r="D479" i="4"/>
  <c r="F479" i="4"/>
  <c r="A480" i="4"/>
  <c r="B480" i="4"/>
  <c r="C480" i="4"/>
  <c r="D480" i="4"/>
  <c r="F480" i="4"/>
  <c r="A481" i="4"/>
  <c r="B481" i="4"/>
  <c r="C481" i="4"/>
  <c r="D481" i="4"/>
  <c r="F481" i="4"/>
  <c r="A482" i="4"/>
  <c r="B482" i="4"/>
  <c r="C482" i="4"/>
  <c r="D482" i="4"/>
  <c r="F482" i="4"/>
  <c r="A483" i="4"/>
  <c r="B483" i="4"/>
  <c r="C483" i="4"/>
  <c r="D483" i="4"/>
  <c r="F483" i="4"/>
  <c r="A484" i="4"/>
  <c r="B484" i="4"/>
  <c r="C484" i="4"/>
  <c r="D484" i="4"/>
  <c r="F484" i="4"/>
  <c r="A485" i="4"/>
  <c r="B485" i="4"/>
  <c r="C485" i="4"/>
  <c r="D485" i="4"/>
  <c r="F485" i="4"/>
  <c r="A486" i="4"/>
  <c r="B486" i="4"/>
  <c r="C486" i="4"/>
  <c r="D486" i="4"/>
  <c r="F486" i="4"/>
  <c r="A487" i="4"/>
  <c r="B487" i="4"/>
  <c r="C487" i="4"/>
  <c r="D487" i="4"/>
  <c r="F487" i="4"/>
  <c r="A488" i="4"/>
  <c r="B488" i="4"/>
  <c r="C488" i="4"/>
  <c r="D488" i="4"/>
  <c r="F488" i="4"/>
  <c r="A489" i="4"/>
  <c r="B489" i="4"/>
  <c r="C489" i="4"/>
  <c r="D489" i="4"/>
  <c r="F489" i="4"/>
  <c r="A490" i="4"/>
  <c r="B490" i="4"/>
  <c r="C490" i="4"/>
  <c r="D490" i="4"/>
  <c r="F490" i="4"/>
  <c r="A491" i="4"/>
  <c r="B491" i="4"/>
  <c r="C491" i="4"/>
  <c r="D491" i="4"/>
  <c r="F491" i="4"/>
  <c r="A492" i="4"/>
  <c r="B492" i="4"/>
  <c r="C492" i="4"/>
  <c r="D492" i="4"/>
  <c r="F492" i="4"/>
  <c r="A493" i="4"/>
  <c r="B493" i="4"/>
  <c r="C493" i="4"/>
  <c r="D493" i="4"/>
  <c r="F493" i="4"/>
  <c r="A494" i="4"/>
  <c r="B494" i="4"/>
  <c r="C494" i="4"/>
  <c r="D494" i="4"/>
  <c r="F494" i="4"/>
  <c r="A495" i="4"/>
  <c r="B495" i="4"/>
  <c r="C495" i="4"/>
  <c r="D495" i="4"/>
  <c r="F495" i="4"/>
  <c r="A496" i="4"/>
  <c r="B496" i="4"/>
  <c r="C496" i="4"/>
  <c r="D496" i="4"/>
  <c r="F496" i="4"/>
  <c r="A497" i="4"/>
  <c r="B497" i="4"/>
  <c r="C497" i="4"/>
  <c r="D497" i="4"/>
  <c r="F497" i="4"/>
  <c r="A498" i="4"/>
  <c r="B498" i="4"/>
  <c r="C498" i="4"/>
  <c r="D498" i="4"/>
  <c r="F498" i="4"/>
  <c r="A499" i="4"/>
  <c r="B499" i="4"/>
  <c r="C499" i="4"/>
  <c r="D499" i="4"/>
  <c r="F499" i="4"/>
  <c r="A500" i="4"/>
  <c r="B500" i="4"/>
  <c r="C500" i="4"/>
  <c r="D500" i="4"/>
  <c r="F500" i="4"/>
  <c r="A501" i="4"/>
  <c r="B501" i="4"/>
  <c r="C501" i="4"/>
  <c r="D501" i="4"/>
  <c r="F501" i="4"/>
  <c r="F3" i="4"/>
  <c r="C3" i="4"/>
  <c r="B3" i="4"/>
  <c r="A3" i="4"/>
  <c r="D3" i="4"/>
  <c r="A4" i="17"/>
  <c r="B4" i="17"/>
  <c r="D4" i="17"/>
  <c r="F4" i="17"/>
  <c r="H4" i="17"/>
  <c r="A5" i="17"/>
  <c r="B5" i="17"/>
  <c r="D5" i="17"/>
  <c r="F5" i="17"/>
  <c r="H5" i="17"/>
  <c r="A6" i="17"/>
  <c r="B6" i="17"/>
  <c r="D6" i="17"/>
  <c r="F6" i="17"/>
  <c r="H6" i="17"/>
  <c r="A7" i="17"/>
  <c r="B7" i="17"/>
  <c r="D7" i="17"/>
  <c r="F7" i="17"/>
  <c r="H7" i="17"/>
  <c r="A8" i="17"/>
  <c r="B8" i="17"/>
  <c r="D8" i="17"/>
  <c r="F8" i="17"/>
  <c r="H8" i="17"/>
  <c r="A9" i="17"/>
  <c r="B9" i="17"/>
  <c r="D9" i="17"/>
  <c r="F9" i="17"/>
  <c r="H9" i="17"/>
  <c r="A10" i="17"/>
  <c r="B10" i="17"/>
  <c r="D10" i="17"/>
  <c r="F10" i="17"/>
  <c r="H10" i="17"/>
  <c r="A11" i="17"/>
  <c r="B11" i="17"/>
  <c r="D11" i="17"/>
  <c r="F11" i="17"/>
  <c r="H11" i="17"/>
  <c r="A12" i="17"/>
  <c r="B12" i="17"/>
  <c r="D12" i="17"/>
  <c r="F12" i="17"/>
  <c r="H12" i="17"/>
  <c r="A13" i="17"/>
  <c r="B13" i="17"/>
  <c r="D13" i="17"/>
  <c r="F13" i="17"/>
  <c r="H13" i="17"/>
  <c r="A14" i="17"/>
  <c r="B14" i="17"/>
  <c r="D14" i="17"/>
  <c r="F14" i="17"/>
  <c r="H14" i="17"/>
  <c r="A15" i="17"/>
  <c r="B15" i="17"/>
  <c r="D15" i="17"/>
  <c r="F15" i="17"/>
  <c r="H15" i="17"/>
  <c r="A16" i="17"/>
  <c r="B16" i="17"/>
  <c r="D16" i="17"/>
  <c r="F16" i="17"/>
  <c r="H16" i="17"/>
  <c r="A17" i="17"/>
  <c r="B17" i="17"/>
  <c r="D17" i="17"/>
  <c r="F17" i="17"/>
  <c r="H17" i="17"/>
  <c r="A18" i="17"/>
  <c r="B18" i="17"/>
  <c r="D18" i="17"/>
  <c r="F18" i="17"/>
  <c r="H18" i="17"/>
  <c r="A19" i="17"/>
  <c r="B19" i="17"/>
  <c r="D19" i="17"/>
  <c r="F19" i="17"/>
  <c r="H19" i="17"/>
  <c r="A20" i="17"/>
  <c r="B20" i="17"/>
  <c r="D20" i="17"/>
  <c r="F20" i="17"/>
  <c r="H20" i="17"/>
  <c r="A21" i="17"/>
  <c r="B21" i="17"/>
  <c r="D21" i="17"/>
  <c r="F21" i="17"/>
  <c r="H21" i="17"/>
  <c r="A22" i="17"/>
  <c r="B22" i="17"/>
  <c r="D22" i="17"/>
  <c r="F22" i="17"/>
  <c r="H22" i="17"/>
  <c r="A23" i="17"/>
  <c r="B23" i="17"/>
  <c r="D23" i="17"/>
  <c r="F23" i="17"/>
  <c r="H23" i="17"/>
  <c r="A24" i="17"/>
  <c r="B24" i="17"/>
  <c r="D24" i="17"/>
  <c r="F24" i="17"/>
  <c r="H24" i="17"/>
  <c r="A25" i="17"/>
  <c r="B25" i="17"/>
  <c r="D25" i="17"/>
  <c r="F25" i="17"/>
  <c r="H25" i="17"/>
  <c r="A26" i="17"/>
  <c r="B26" i="17"/>
  <c r="D26" i="17"/>
  <c r="F26" i="17"/>
  <c r="H26" i="17"/>
  <c r="A27" i="17"/>
  <c r="B27" i="17"/>
  <c r="D27" i="17"/>
  <c r="F27" i="17"/>
  <c r="H27" i="17"/>
  <c r="A28" i="17"/>
  <c r="B28" i="17"/>
  <c r="D28" i="17"/>
  <c r="F28" i="17"/>
  <c r="H28" i="17"/>
  <c r="A29" i="17"/>
  <c r="B29" i="17"/>
  <c r="D29" i="17"/>
  <c r="F29" i="17"/>
  <c r="H29" i="17"/>
  <c r="A30" i="17"/>
  <c r="B30" i="17"/>
  <c r="D30" i="17"/>
  <c r="F30" i="17"/>
  <c r="H30" i="17"/>
  <c r="A31" i="17"/>
  <c r="B31" i="17"/>
  <c r="D31" i="17"/>
  <c r="F31" i="17"/>
  <c r="H31" i="17"/>
  <c r="A32" i="17"/>
  <c r="B32" i="17"/>
  <c r="D32" i="17"/>
  <c r="F32" i="17"/>
  <c r="H32" i="17"/>
  <c r="A33" i="17"/>
  <c r="B33" i="17"/>
  <c r="D33" i="17"/>
  <c r="F33" i="17"/>
  <c r="H33" i="17"/>
  <c r="A34" i="17"/>
  <c r="B34" i="17"/>
  <c r="D34" i="17"/>
  <c r="F34" i="17"/>
  <c r="H34" i="17"/>
  <c r="A35" i="17"/>
  <c r="B35" i="17"/>
  <c r="D35" i="17"/>
  <c r="F35" i="17"/>
  <c r="H35" i="17"/>
  <c r="A36" i="17"/>
  <c r="B36" i="17"/>
  <c r="D36" i="17"/>
  <c r="F36" i="17"/>
  <c r="H36" i="17"/>
  <c r="A37" i="17"/>
  <c r="B37" i="17"/>
  <c r="D37" i="17"/>
  <c r="F37" i="17"/>
  <c r="H37" i="17"/>
  <c r="A38" i="17"/>
  <c r="B38" i="17"/>
  <c r="D38" i="17"/>
  <c r="F38" i="17"/>
  <c r="H38" i="17"/>
  <c r="A39" i="17"/>
  <c r="B39" i="17"/>
  <c r="D39" i="17"/>
  <c r="F39" i="17"/>
  <c r="H39" i="17"/>
  <c r="A40" i="17"/>
  <c r="B40" i="17"/>
  <c r="D40" i="17"/>
  <c r="F40" i="17"/>
  <c r="H40" i="17"/>
  <c r="A41" i="17"/>
  <c r="B41" i="17"/>
  <c r="D41" i="17"/>
  <c r="F41" i="17"/>
  <c r="H41" i="17"/>
  <c r="A42" i="17"/>
  <c r="B42" i="17"/>
  <c r="D42" i="17"/>
  <c r="F42" i="17"/>
  <c r="H42" i="17"/>
  <c r="A43" i="17"/>
  <c r="B43" i="17"/>
  <c r="D43" i="17"/>
  <c r="F43" i="17"/>
  <c r="H43" i="17"/>
  <c r="A44" i="17"/>
  <c r="B44" i="17"/>
  <c r="D44" i="17"/>
  <c r="F44" i="17"/>
  <c r="H44" i="17"/>
  <c r="A45" i="17"/>
  <c r="B45" i="17"/>
  <c r="D45" i="17"/>
  <c r="F45" i="17"/>
  <c r="H45" i="17"/>
  <c r="A46" i="17"/>
  <c r="B46" i="17"/>
  <c r="D46" i="17"/>
  <c r="F46" i="17"/>
  <c r="H46" i="17"/>
  <c r="A47" i="17"/>
  <c r="B47" i="17"/>
  <c r="D47" i="17"/>
  <c r="F47" i="17"/>
  <c r="H47" i="17"/>
  <c r="A48" i="17"/>
  <c r="B48" i="17"/>
  <c r="D48" i="17"/>
  <c r="F48" i="17"/>
  <c r="H48" i="17"/>
  <c r="A49" i="17"/>
  <c r="B49" i="17"/>
  <c r="D49" i="17"/>
  <c r="F49" i="17"/>
  <c r="H49" i="17"/>
  <c r="A50" i="17"/>
  <c r="B50" i="17"/>
  <c r="D50" i="17"/>
  <c r="F50" i="17"/>
  <c r="H50" i="17"/>
  <c r="A51" i="17"/>
  <c r="B51" i="17"/>
  <c r="D51" i="17"/>
  <c r="F51" i="17"/>
  <c r="H51" i="17"/>
  <c r="A52" i="17"/>
  <c r="B52" i="17"/>
  <c r="D52" i="17"/>
  <c r="F52" i="17"/>
  <c r="H52" i="17"/>
  <c r="A53" i="17"/>
  <c r="B53" i="17"/>
  <c r="D53" i="17"/>
  <c r="F53" i="17"/>
  <c r="H53" i="17"/>
  <c r="A54" i="17"/>
  <c r="B54" i="17"/>
  <c r="D54" i="17"/>
  <c r="F54" i="17"/>
  <c r="H54" i="17"/>
  <c r="A55" i="17"/>
  <c r="B55" i="17"/>
  <c r="D55" i="17"/>
  <c r="F55" i="17"/>
  <c r="H55" i="17"/>
  <c r="A56" i="17"/>
  <c r="B56" i="17"/>
  <c r="D56" i="17"/>
  <c r="F56" i="17"/>
  <c r="H56" i="17"/>
  <c r="A57" i="17"/>
  <c r="B57" i="17"/>
  <c r="D57" i="17"/>
  <c r="F57" i="17"/>
  <c r="H57" i="17"/>
  <c r="A58" i="17"/>
  <c r="B58" i="17"/>
  <c r="D58" i="17"/>
  <c r="F58" i="17"/>
  <c r="H58" i="17"/>
  <c r="A59" i="17"/>
  <c r="B59" i="17"/>
  <c r="D59" i="17"/>
  <c r="F59" i="17"/>
  <c r="H59" i="17"/>
  <c r="A60" i="17"/>
  <c r="B60" i="17"/>
  <c r="D60" i="17"/>
  <c r="F60" i="17"/>
  <c r="H60" i="17"/>
  <c r="A61" i="17"/>
  <c r="B61" i="17"/>
  <c r="D61" i="17"/>
  <c r="F61" i="17"/>
  <c r="H61" i="17"/>
  <c r="A62" i="17"/>
  <c r="B62" i="17"/>
  <c r="D62" i="17"/>
  <c r="F62" i="17"/>
  <c r="H62" i="17"/>
  <c r="A63" i="17"/>
  <c r="B63" i="17"/>
  <c r="D63" i="17"/>
  <c r="F63" i="17"/>
  <c r="H63" i="17"/>
  <c r="A64" i="17"/>
  <c r="B64" i="17"/>
  <c r="D64" i="17"/>
  <c r="F64" i="17"/>
  <c r="H64" i="17"/>
  <c r="A65" i="17"/>
  <c r="B65" i="17"/>
  <c r="D65" i="17"/>
  <c r="F65" i="17"/>
  <c r="H65" i="17"/>
  <c r="A66" i="17"/>
  <c r="B66" i="17"/>
  <c r="D66" i="17"/>
  <c r="F66" i="17"/>
  <c r="H66" i="17"/>
  <c r="A67" i="17"/>
  <c r="B67" i="17"/>
  <c r="D67" i="17"/>
  <c r="F67" i="17"/>
  <c r="H67" i="17"/>
  <c r="A68" i="17"/>
  <c r="B68" i="17"/>
  <c r="D68" i="17"/>
  <c r="F68" i="17"/>
  <c r="H68" i="17"/>
  <c r="A69" i="17"/>
  <c r="B69" i="17"/>
  <c r="D69" i="17"/>
  <c r="F69" i="17"/>
  <c r="H69" i="17"/>
  <c r="A70" i="17"/>
  <c r="B70" i="17"/>
  <c r="D70" i="17"/>
  <c r="F70" i="17"/>
  <c r="H70" i="17"/>
  <c r="A71" i="17"/>
  <c r="B71" i="17"/>
  <c r="D71" i="17"/>
  <c r="F71" i="17"/>
  <c r="H71" i="17"/>
  <c r="A72" i="17"/>
  <c r="B72" i="17"/>
  <c r="D72" i="17"/>
  <c r="F72" i="17"/>
  <c r="H72" i="17"/>
  <c r="A73" i="17"/>
  <c r="B73" i="17"/>
  <c r="D73" i="17"/>
  <c r="F73" i="17"/>
  <c r="H73" i="17"/>
  <c r="A74" i="17"/>
  <c r="B74" i="17"/>
  <c r="D74" i="17"/>
  <c r="F74" i="17"/>
  <c r="H74" i="17"/>
  <c r="A75" i="17"/>
  <c r="B75" i="17"/>
  <c r="D75" i="17"/>
  <c r="F75" i="17"/>
  <c r="H75" i="17"/>
  <c r="A76" i="17"/>
  <c r="B76" i="17"/>
  <c r="D76" i="17"/>
  <c r="F76" i="17"/>
  <c r="H76" i="17"/>
  <c r="A77" i="17"/>
  <c r="B77" i="17"/>
  <c r="D77" i="17"/>
  <c r="F77" i="17"/>
  <c r="H77" i="17"/>
  <c r="A78" i="17"/>
  <c r="B78" i="17"/>
  <c r="D78" i="17"/>
  <c r="F78" i="17"/>
  <c r="H78" i="17"/>
  <c r="A79" i="17"/>
  <c r="B79" i="17"/>
  <c r="D79" i="17"/>
  <c r="F79" i="17"/>
  <c r="H79" i="17"/>
  <c r="A80" i="17"/>
  <c r="B80" i="17"/>
  <c r="D80" i="17"/>
  <c r="F80" i="17"/>
  <c r="H80" i="17"/>
  <c r="A81" i="17"/>
  <c r="B81" i="17"/>
  <c r="D81" i="17"/>
  <c r="F81" i="17"/>
  <c r="H81" i="17"/>
  <c r="A82" i="17"/>
  <c r="B82" i="17"/>
  <c r="D82" i="17"/>
  <c r="F82" i="17"/>
  <c r="H82" i="17"/>
  <c r="A83" i="17"/>
  <c r="B83" i="17"/>
  <c r="D83" i="17"/>
  <c r="F83" i="17"/>
  <c r="H83" i="17"/>
  <c r="A84" i="17"/>
  <c r="B84" i="17"/>
  <c r="D84" i="17"/>
  <c r="F84" i="17"/>
  <c r="H84" i="17"/>
  <c r="A85" i="17"/>
  <c r="B85" i="17"/>
  <c r="D85" i="17"/>
  <c r="F85" i="17"/>
  <c r="H85" i="17"/>
  <c r="A86" i="17"/>
  <c r="B86" i="17"/>
  <c r="D86" i="17"/>
  <c r="F86" i="17"/>
  <c r="H86" i="17"/>
  <c r="A87" i="17"/>
  <c r="B87" i="17"/>
  <c r="D87" i="17"/>
  <c r="F87" i="17"/>
  <c r="H87" i="17"/>
  <c r="A88" i="17"/>
  <c r="B88" i="17"/>
  <c r="D88" i="17"/>
  <c r="F88" i="17"/>
  <c r="H88" i="17"/>
  <c r="A89" i="17"/>
  <c r="B89" i="17"/>
  <c r="D89" i="17"/>
  <c r="F89" i="17"/>
  <c r="H89" i="17"/>
  <c r="A90" i="17"/>
  <c r="B90" i="17"/>
  <c r="D90" i="17"/>
  <c r="F90" i="17"/>
  <c r="H90" i="17"/>
  <c r="A91" i="17"/>
  <c r="B91" i="17"/>
  <c r="D91" i="17"/>
  <c r="F91" i="17"/>
  <c r="H91" i="17"/>
  <c r="A92" i="17"/>
  <c r="B92" i="17"/>
  <c r="D92" i="17"/>
  <c r="F92" i="17"/>
  <c r="H92" i="17"/>
  <c r="A93" i="17"/>
  <c r="B93" i="17"/>
  <c r="D93" i="17"/>
  <c r="F93" i="17"/>
  <c r="H93" i="17"/>
  <c r="A94" i="17"/>
  <c r="B94" i="17"/>
  <c r="D94" i="17"/>
  <c r="F94" i="17"/>
  <c r="H94" i="17"/>
  <c r="A95" i="17"/>
  <c r="B95" i="17"/>
  <c r="D95" i="17"/>
  <c r="F95" i="17"/>
  <c r="H95" i="17"/>
  <c r="A96" i="17"/>
  <c r="B96" i="17"/>
  <c r="D96" i="17"/>
  <c r="F96" i="17"/>
  <c r="H96" i="17"/>
  <c r="A97" i="17"/>
  <c r="B97" i="17"/>
  <c r="D97" i="17"/>
  <c r="F97" i="17"/>
  <c r="H97" i="17"/>
  <c r="A98" i="17"/>
  <c r="B98" i="17"/>
  <c r="D98" i="17"/>
  <c r="F98" i="17"/>
  <c r="H98" i="17"/>
  <c r="A99" i="17"/>
  <c r="B99" i="17"/>
  <c r="D99" i="17"/>
  <c r="F99" i="17"/>
  <c r="H99" i="17"/>
  <c r="A100" i="17"/>
  <c r="B100" i="17"/>
  <c r="D100" i="17"/>
  <c r="F100" i="17"/>
  <c r="H100" i="17"/>
  <c r="A101" i="17"/>
  <c r="B101" i="17"/>
  <c r="D101" i="17"/>
  <c r="F101" i="17"/>
  <c r="H101" i="17"/>
  <c r="A102" i="17"/>
  <c r="B102" i="17"/>
  <c r="D102" i="17"/>
  <c r="F102" i="17"/>
  <c r="H102" i="17"/>
  <c r="A103" i="17"/>
  <c r="B103" i="17"/>
  <c r="D103" i="17"/>
  <c r="F103" i="17"/>
  <c r="H103" i="17"/>
  <c r="A104" i="17"/>
  <c r="B104" i="17"/>
  <c r="D104" i="17"/>
  <c r="F104" i="17"/>
  <c r="H104" i="17"/>
  <c r="A105" i="17"/>
  <c r="B105" i="17"/>
  <c r="D105" i="17"/>
  <c r="F105" i="17"/>
  <c r="H105" i="17"/>
  <c r="A106" i="17"/>
  <c r="B106" i="17"/>
  <c r="D106" i="17"/>
  <c r="F106" i="17"/>
  <c r="H106" i="17"/>
  <c r="A107" i="17"/>
  <c r="B107" i="17"/>
  <c r="D107" i="17"/>
  <c r="F107" i="17"/>
  <c r="H107" i="17"/>
  <c r="A108" i="17"/>
  <c r="B108" i="17"/>
  <c r="D108" i="17"/>
  <c r="F108" i="17"/>
  <c r="H108" i="17"/>
  <c r="A109" i="17"/>
  <c r="B109" i="17"/>
  <c r="D109" i="17"/>
  <c r="F109" i="17"/>
  <c r="H109" i="17"/>
  <c r="A110" i="17"/>
  <c r="B110" i="17"/>
  <c r="D110" i="17"/>
  <c r="F110" i="17"/>
  <c r="H110" i="17"/>
  <c r="A111" i="17"/>
  <c r="B111" i="17"/>
  <c r="D111" i="17"/>
  <c r="F111" i="17"/>
  <c r="H111" i="17"/>
  <c r="A112" i="17"/>
  <c r="B112" i="17"/>
  <c r="D112" i="17"/>
  <c r="F112" i="17"/>
  <c r="H112" i="17"/>
  <c r="A113" i="17"/>
  <c r="B113" i="17"/>
  <c r="D113" i="17"/>
  <c r="F113" i="17"/>
  <c r="H113" i="17"/>
  <c r="A114" i="17"/>
  <c r="B114" i="17"/>
  <c r="D114" i="17"/>
  <c r="F114" i="17"/>
  <c r="H114" i="17"/>
  <c r="A115" i="17"/>
  <c r="B115" i="17"/>
  <c r="D115" i="17"/>
  <c r="F115" i="17"/>
  <c r="H115" i="17"/>
  <c r="A116" i="17"/>
  <c r="B116" i="17"/>
  <c r="D116" i="17"/>
  <c r="F116" i="17"/>
  <c r="H116" i="17"/>
  <c r="A117" i="17"/>
  <c r="B117" i="17"/>
  <c r="D117" i="17"/>
  <c r="F117" i="17"/>
  <c r="H117" i="17"/>
  <c r="A118" i="17"/>
  <c r="B118" i="17"/>
  <c r="D118" i="17"/>
  <c r="F118" i="17"/>
  <c r="H118" i="17"/>
  <c r="A119" i="17"/>
  <c r="B119" i="17"/>
  <c r="D119" i="17"/>
  <c r="F119" i="17"/>
  <c r="H119" i="17"/>
  <c r="A120" i="17"/>
  <c r="B120" i="17"/>
  <c r="D120" i="17"/>
  <c r="F120" i="17"/>
  <c r="H120" i="17"/>
  <c r="A121" i="17"/>
  <c r="B121" i="17"/>
  <c r="D121" i="17"/>
  <c r="F121" i="17"/>
  <c r="H121" i="17"/>
  <c r="A122" i="17"/>
  <c r="B122" i="17"/>
  <c r="D122" i="17"/>
  <c r="F122" i="17"/>
  <c r="H122" i="17"/>
  <c r="A123" i="17"/>
  <c r="B123" i="17"/>
  <c r="D123" i="17"/>
  <c r="F123" i="17"/>
  <c r="H123" i="17"/>
  <c r="A124" i="17"/>
  <c r="B124" i="17"/>
  <c r="D124" i="17"/>
  <c r="F124" i="17"/>
  <c r="H124" i="17"/>
  <c r="A125" i="17"/>
  <c r="B125" i="17"/>
  <c r="D125" i="17"/>
  <c r="F125" i="17"/>
  <c r="H125" i="17"/>
  <c r="A126" i="17"/>
  <c r="B126" i="17"/>
  <c r="D126" i="17"/>
  <c r="F126" i="17"/>
  <c r="H126" i="17"/>
  <c r="A127" i="17"/>
  <c r="B127" i="17"/>
  <c r="D127" i="17"/>
  <c r="F127" i="17"/>
  <c r="H127" i="17"/>
  <c r="A128" i="17"/>
  <c r="B128" i="17"/>
  <c r="D128" i="17"/>
  <c r="F128" i="17"/>
  <c r="H128" i="17"/>
  <c r="A129" i="17"/>
  <c r="B129" i="17"/>
  <c r="D129" i="17"/>
  <c r="F129" i="17"/>
  <c r="H129" i="17"/>
  <c r="A130" i="17"/>
  <c r="B130" i="17"/>
  <c r="D130" i="17"/>
  <c r="F130" i="17"/>
  <c r="H130" i="17"/>
  <c r="A131" i="17"/>
  <c r="B131" i="17"/>
  <c r="D131" i="17"/>
  <c r="F131" i="17"/>
  <c r="H131" i="17"/>
  <c r="A132" i="17"/>
  <c r="B132" i="17"/>
  <c r="D132" i="17"/>
  <c r="F132" i="17"/>
  <c r="H132" i="17"/>
  <c r="A133" i="17"/>
  <c r="B133" i="17"/>
  <c r="D133" i="17"/>
  <c r="F133" i="17"/>
  <c r="H133" i="17"/>
  <c r="A134" i="17"/>
  <c r="B134" i="17"/>
  <c r="D134" i="17"/>
  <c r="F134" i="17"/>
  <c r="H134" i="17"/>
  <c r="A135" i="17"/>
  <c r="B135" i="17"/>
  <c r="D135" i="17"/>
  <c r="F135" i="17"/>
  <c r="H135" i="17"/>
  <c r="A136" i="17"/>
  <c r="B136" i="17"/>
  <c r="D136" i="17"/>
  <c r="F136" i="17"/>
  <c r="H136" i="17"/>
  <c r="A137" i="17"/>
  <c r="B137" i="17"/>
  <c r="D137" i="17"/>
  <c r="F137" i="17"/>
  <c r="H137" i="17"/>
  <c r="A138" i="17"/>
  <c r="B138" i="17"/>
  <c r="D138" i="17"/>
  <c r="F138" i="17"/>
  <c r="H138" i="17"/>
  <c r="A139" i="17"/>
  <c r="B139" i="17"/>
  <c r="D139" i="17"/>
  <c r="F139" i="17"/>
  <c r="H139" i="17"/>
  <c r="A140" i="17"/>
  <c r="B140" i="17"/>
  <c r="D140" i="17"/>
  <c r="F140" i="17"/>
  <c r="H140" i="17"/>
  <c r="A141" i="17"/>
  <c r="B141" i="17"/>
  <c r="D141" i="17"/>
  <c r="F141" i="17"/>
  <c r="H141" i="17"/>
  <c r="A142" i="17"/>
  <c r="B142" i="17"/>
  <c r="D142" i="17"/>
  <c r="F142" i="17"/>
  <c r="H142" i="17"/>
  <c r="A143" i="17"/>
  <c r="B143" i="17"/>
  <c r="D143" i="17"/>
  <c r="F143" i="17"/>
  <c r="H143" i="17"/>
  <c r="A144" i="17"/>
  <c r="B144" i="17"/>
  <c r="D144" i="17"/>
  <c r="F144" i="17"/>
  <c r="H144" i="17"/>
  <c r="A145" i="17"/>
  <c r="B145" i="17"/>
  <c r="D145" i="17"/>
  <c r="F145" i="17"/>
  <c r="H145" i="17"/>
  <c r="A146" i="17"/>
  <c r="B146" i="17"/>
  <c r="D146" i="17"/>
  <c r="F146" i="17"/>
  <c r="H146" i="17"/>
  <c r="A147" i="17"/>
  <c r="B147" i="17"/>
  <c r="D147" i="17"/>
  <c r="F147" i="17"/>
  <c r="H147" i="17"/>
  <c r="A148" i="17"/>
  <c r="B148" i="17"/>
  <c r="D148" i="17"/>
  <c r="F148" i="17"/>
  <c r="H148" i="17"/>
  <c r="A149" i="17"/>
  <c r="B149" i="17"/>
  <c r="D149" i="17"/>
  <c r="F149" i="17"/>
  <c r="H149" i="17"/>
  <c r="A150" i="17"/>
  <c r="B150" i="17"/>
  <c r="D150" i="17"/>
  <c r="F150" i="17"/>
  <c r="H150" i="17"/>
  <c r="A151" i="17"/>
  <c r="B151" i="17"/>
  <c r="D151" i="17"/>
  <c r="F151" i="17"/>
  <c r="H151" i="17"/>
  <c r="A152" i="17"/>
  <c r="B152" i="17"/>
  <c r="D152" i="17"/>
  <c r="F152" i="17"/>
  <c r="H152" i="17"/>
  <c r="A153" i="17"/>
  <c r="B153" i="17"/>
  <c r="D153" i="17"/>
  <c r="F153" i="17"/>
  <c r="H153" i="17"/>
  <c r="A154" i="17"/>
  <c r="B154" i="17"/>
  <c r="D154" i="17"/>
  <c r="F154" i="17"/>
  <c r="H154" i="17"/>
  <c r="A155" i="17"/>
  <c r="B155" i="17"/>
  <c r="D155" i="17"/>
  <c r="F155" i="17"/>
  <c r="H155" i="17"/>
  <c r="A156" i="17"/>
  <c r="B156" i="17"/>
  <c r="D156" i="17"/>
  <c r="F156" i="17"/>
  <c r="H156" i="17"/>
  <c r="A157" i="17"/>
  <c r="B157" i="17"/>
  <c r="D157" i="17"/>
  <c r="F157" i="17"/>
  <c r="H157" i="17"/>
  <c r="A158" i="17"/>
  <c r="B158" i="17"/>
  <c r="D158" i="17"/>
  <c r="F158" i="17"/>
  <c r="H158" i="17"/>
  <c r="A159" i="17"/>
  <c r="B159" i="17"/>
  <c r="D159" i="17"/>
  <c r="F159" i="17"/>
  <c r="H159" i="17"/>
  <c r="A160" i="17"/>
  <c r="B160" i="17"/>
  <c r="D160" i="17"/>
  <c r="F160" i="17"/>
  <c r="H160" i="17"/>
  <c r="A161" i="17"/>
  <c r="B161" i="17"/>
  <c r="D161" i="17"/>
  <c r="F161" i="17"/>
  <c r="H161" i="17"/>
  <c r="A162" i="17"/>
  <c r="B162" i="17"/>
  <c r="D162" i="17"/>
  <c r="F162" i="17"/>
  <c r="H162" i="17"/>
  <c r="A163" i="17"/>
  <c r="B163" i="17"/>
  <c r="D163" i="17"/>
  <c r="F163" i="17"/>
  <c r="H163" i="17"/>
  <c r="A164" i="17"/>
  <c r="B164" i="17"/>
  <c r="D164" i="17"/>
  <c r="F164" i="17"/>
  <c r="H164" i="17"/>
  <c r="A165" i="17"/>
  <c r="B165" i="17"/>
  <c r="D165" i="17"/>
  <c r="F165" i="17"/>
  <c r="H165" i="17"/>
  <c r="A166" i="17"/>
  <c r="B166" i="17"/>
  <c r="D166" i="17"/>
  <c r="F166" i="17"/>
  <c r="H166" i="17"/>
  <c r="A167" i="17"/>
  <c r="B167" i="17"/>
  <c r="D167" i="17"/>
  <c r="F167" i="17"/>
  <c r="H167" i="17"/>
  <c r="A168" i="17"/>
  <c r="B168" i="17"/>
  <c r="D168" i="17"/>
  <c r="F168" i="17"/>
  <c r="H168" i="17"/>
  <c r="A169" i="17"/>
  <c r="B169" i="17"/>
  <c r="D169" i="17"/>
  <c r="F169" i="17"/>
  <c r="H169" i="17"/>
  <c r="A170" i="17"/>
  <c r="B170" i="17"/>
  <c r="D170" i="17"/>
  <c r="F170" i="17"/>
  <c r="H170" i="17"/>
  <c r="A171" i="17"/>
  <c r="B171" i="17"/>
  <c r="D171" i="17"/>
  <c r="F171" i="17"/>
  <c r="H171" i="17"/>
  <c r="A172" i="17"/>
  <c r="B172" i="17"/>
  <c r="D172" i="17"/>
  <c r="F172" i="17"/>
  <c r="H172" i="17"/>
  <c r="A173" i="17"/>
  <c r="B173" i="17"/>
  <c r="D173" i="17"/>
  <c r="F173" i="17"/>
  <c r="H173" i="17"/>
  <c r="A174" i="17"/>
  <c r="B174" i="17"/>
  <c r="D174" i="17"/>
  <c r="F174" i="17"/>
  <c r="H174" i="17"/>
  <c r="A175" i="17"/>
  <c r="B175" i="17"/>
  <c r="D175" i="17"/>
  <c r="F175" i="17"/>
  <c r="H175" i="17"/>
  <c r="A176" i="17"/>
  <c r="B176" i="17"/>
  <c r="D176" i="17"/>
  <c r="F176" i="17"/>
  <c r="H176" i="17"/>
  <c r="A177" i="17"/>
  <c r="B177" i="17"/>
  <c r="D177" i="17"/>
  <c r="F177" i="17"/>
  <c r="H177" i="17"/>
  <c r="A178" i="17"/>
  <c r="B178" i="17"/>
  <c r="D178" i="17"/>
  <c r="F178" i="17"/>
  <c r="H178" i="17"/>
  <c r="A179" i="17"/>
  <c r="B179" i="17"/>
  <c r="D179" i="17"/>
  <c r="F179" i="17"/>
  <c r="H179" i="17"/>
  <c r="A180" i="17"/>
  <c r="B180" i="17"/>
  <c r="D180" i="17"/>
  <c r="F180" i="17"/>
  <c r="H180" i="17"/>
  <c r="A181" i="17"/>
  <c r="B181" i="17"/>
  <c r="D181" i="17"/>
  <c r="F181" i="17"/>
  <c r="H181" i="17"/>
  <c r="A182" i="17"/>
  <c r="B182" i="17"/>
  <c r="D182" i="17"/>
  <c r="F182" i="17"/>
  <c r="H182" i="17"/>
  <c r="A183" i="17"/>
  <c r="B183" i="17"/>
  <c r="D183" i="17"/>
  <c r="F183" i="17"/>
  <c r="H183" i="17"/>
  <c r="A184" i="17"/>
  <c r="B184" i="17"/>
  <c r="D184" i="17"/>
  <c r="F184" i="17"/>
  <c r="H184" i="17"/>
  <c r="A185" i="17"/>
  <c r="B185" i="17"/>
  <c r="D185" i="17"/>
  <c r="F185" i="17"/>
  <c r="H185" i="17"/>
  <c r="A186" i="17"/>
  <c r="B186" i="17"/>
  <c r="D186" i="17"/>
  <c r="F186" i="17"/>
  <c r="H186" i="17"/>
  <c r="A187" i="17"/>
  <c r="B187" i="17"/>
  <c r="D187" i="17"/>
  <c r="F187" i="17"/>
  <c r="H187" i="17"/>
  <c r="A188" i="17"/>
  <c r="B188" i="17"/>
  <c r="D188" i="17"/>
  <c r="F188" i="17"/>
  <c r="H188" i="17"/>
  <c r="A189" i="17"/>
  <c r="B189" i="17"/>
  <c r="D189" i="17"/>
  <c r="F189" i="17"/>
  <c r="H189" i="17"/>
  <c r="A190" i="17"/>
  <c r="B190" i="17"/>
  <c r="D190" i="17"/>
  <c r="F190" i="17"/>
  <c r="H190" i="17"/>
  <c r="A191" i="17"/>
  <c r="B191" i="17"/>
  <c r="D191" i="17"/>
  <c r="F191" i="17"/>
  <c r="H191" i="17"/>
  <c r="A192" i="17"/>
  <c r="B192" i="17"/>
  <c r="D192" i="17"/>
  <c r="F192" i="17"/>
  <c r="H192" i="17"/>
  <c r="A193" i="17"/>
  <c r="B193" i="17"/>
  <c r="D193" i="17"/>
  <c r="F193" i="17"/>
  <c r="H193" i="17"/>
  <c r="A194" i="17"/>
  <c r="B194" i="17"/>
  <c r="D194" i="17"/>
  <c r="F194" i="17"/>
  <c r="H194" i="17"/>
  <c r="A195" i="17"/>
  <c r="B195" i="17"/>
  <c r="D195" i="17"/>
  <c r="F195" i="17"/>
  <c r="H195" i="17"/>
  <c r="A196" i="17"/>
  <c r="B196" i="17"/>
  <c r="D196" i="17"/>
  <c r="F196" i="17"/>
  <c r="H196" i="17"/>
  <c r="A197" i="17"/>
  <c r="B197" i="17"/>
  <c r="D197" i="17"/>
  <c r="F197" i="17"/>
  <c r="H197" i="17"/>
  <c r="A198" i="17"/>
  <c r="B198" i="17"/>
  <c r="D198" i="17"/>
  <c r="F198" i="17"/>
  <c r="H198" i="17"/>
  <c r="A199" i="17"/>
  <c r="B199" i="17"/>
  <c r="D199" i="17"/>
  <c r="F199" i="17"/>
  <c r="H199" i="17"/>
  <c r="A200" i="17"/>
  <c r="B200" i="17"/>
  <c r="D200" i="17"/>
  <c r="F200" i="17"/>
  <c r="H200" i="17"/>
  <c r="A201" i="17"/>
  <c r="B201" i="17"/>
  <c r="D201" i="17"/>
  <c r="F201" i="17"/>
  <c r="H201" i="17"/>
  <c r="A202" i="17"/>
  <c r="B202" i="17"/>
  <c r="D202" i="17"/>
  <c r="F202" i="17"/>
  <c r="H202" i="17"/>
  <c r="A203" i="17"/>
  <c r="B203" i="17"/>
  <c r="D203" i="17"/>
  <c r="F203" i="17"/>
  <c r="H203" i="17"/>
  <c r="A204" i="17"/>
  <c r="B204" i="17"/>
  <c r="D204" i="17"/>
  <c r="F204" i="17"/>
  <c r="H204" i="17"/>
  <c r="A205" i="17"/>
  <c r="B205" i="17"/>
  <c r="D205" i="17"/>
  <c r="F205" i="17"/>
  <c r="H205" i="17"/>
  <c r="A206" i="17"/>
  <c r="B206" i="17"/>
  <c r="D206" i="17"/>
  <c r="F206" i="17"/>
  <c r="H206" i="17"/>
  <c r="A207" i="17"/>
  <c r="B207" i="17"/>
  <c r="D207" i="17"/>
  <c r="F207" i="17"/>
  <c r="H207" i="17"/>
  <c r="A208" i="17"/>
  <c r="B208" i="17"/>
  <c r="D208" i="17"/>
  <c r="F208" i="17"/>
  <c r="H208" i="17"/>
  <c r="A209" i="17"/>
  <c r="B209" i="17"/>
  <c r="D209" i="17"/>
  <c r="F209" i="17"/>
  <c r="H209" i="17"/>
  <c r="A210" i="17"/>
  <c r="B210" i="17"/>
  <c r="D210" i="17"/>
  <c r="F210" i="17"/>
  <c r="H210" i="17"/>
  <c r="A211" i="17"/>
  <c r="B211" i="17"/>
  <c r="D211" i="17"/>
  <c r="F211" i="17"/>
  <c r="H211" i="17"/>
  <c r="A212" i="17"/>
  <c r="B212" i="17"/>
  <c r="D212" i="17"/>
  <c r="F212" i="17"/>
  <c r="H212" i="17"/>
  <c r="A213" i="17"/>
  <c r="B213" i="17"/>
  <c r="D213" i="17"/>
  <c r="F213" i="17"/>
  <c r="H213" i="17"/>
  <c r="A214" i="17"/>
  <c r="B214" i="17"/>
  <c r="D214" i="17"/>
  <c r="F214" i="17"/>
  <c r="H214" i="17"/>
  <c r="A215" i="17"/>
  <c r="B215" i="17"/>
  <c r="D215" i="17"/>
  <c r="F215" i="17"/>
  <c r="H215" i="17"/>
  <c r="A216" i="17"/>
  <c r="B216" i="17"/>
  <c r="D216" i="17"/>
  <c r="F216" i="17"/>
  <c r="H216" i="17"/>
  <c r="A217" i="17"/>
  <c r="B217" i="17"/>
  <c r="D217" i="17"/>
  <c r="F217" i="17"/>
  <c r="H217" i="17"/>
  <c r="A218" i="17"/>
  <c r="B218" i="17"/>
  <c r="D218" i="17"/>
  <c r="F218" i="17"/>
  <c r="H218" i="17"/>
  <c r="A219" i="17"/>
  <c r="B219" i="17"/>
  <c r="D219" i="17"/>
  <c r="F219" i="17"/>
  <c r="H219" i="17"/>
  <c r="A220" i="17"/>
  <c r="B220" i="17"/>
  <c r="D220" i="17"/>
  <c r="F220" i="17"/>
  <c r="H220" i="17"/>
  <c r="A221" i="17"/>
  <c r="B221" i="17"/>
  <c r="D221" i="17"/>
  <c r="F221" i="17"/>
  <c r="H221" i="17"/>
  <c r="A222" i="17"/>
  <c r="B222" i="17"/>
  <c r="D222" i="17"/>
  <c r="F222" i="17"/>
  <c r="H222" i="17"/>
  <c r="A223" i="17"/>
  <c r="B223" i="17"/>
  <c r="D223" i="17"/>
  <c r="F223" i="17"/>
  <c r="H223" i="17"/>
  <c r="A224" i="17"/>
  <c r="B224" i="17"/>
  <c r="D224" i="17"/>
  <c r="F224" i="17"/>
  <c r="H224" i="17"/>
  <c r="A225" i="17"/>
  <c r="B225" i="17"/>
  <c r="D225" i="17"/>
  <c r="F225" i="17"/>
  <c r="H225" i="17"/>
  <c r="A226" i="17"/>
  <c r="B226" i="17"/>
  <c r="D226" i="17"/>
  <c r="F226" i="17"/>
  <c r="H226" i="17"/>
  <c r="A227" i="17"/>
  <c r="B227" i="17"/>
  <c r="D227" i="17"/>
  <c r="F227" i="17"/>
  <c r="H227" i="17"/>
  <c r="A228" i="17"/>
  <c r="B228" i="17"/>
  <c r="D228" i="17"/>
  <c r="F228" i="17"/>
  <c r="H228" i="17"/>
  <c r="A229" i="17"/>
  <c r="B229" i="17"/>
  <c r="D229" i="17"/>
  <c r="F229" i="17"/>
  <c r="H229" i="17"/>
  <c r="A230" i="17"/>
  <c r="B230" i="17"/>
  <c r="D230" i="17"/>
  <c r="F230" i="17"/>
  <c r="H230" i="17"/>
  <c r="A231" i="17"/>
  <c r="B231" i="17"/>
  <c r="D231" i="17"/>
  <c r="F231" i="17"/>
  <c r="H231" i="17"/>
  <c r="A232" i="17"/>
  <c r="B232" i="17"/>
  <c r="D232" i="17"/>
  <c r="F232" i="17"/>
  <c r="H232" i="17"/>
  <c r="A233" i="17"/>
  <c r="B233" i="17"/>
  <c r="D233" i="17"/>
  <c r="F233" i="17"/>
  <c r="H233" i="17"/>
  <c r="A234" i="17"/>
  <c r="B234" i="17"/>
  <c r="D234" i="17"/>
  <c r="F234" i="17"/>
  <c r="H234" i="17"/>
  <c r="A235" i="17"/>
  <c r="B235" i="17"/>
  <c r="D235" i="17"/>
  <c r="F235" i="17"/>
  <c r="H235" i="17"/>
  <c r="A236" i="17"/>
  <c r="B236" i="17"/>
  <c r="D236" i="17"/>
  <c r="F236" i="17"/>
  <c r="H236" i="17"/>
  <c r="A237" i="17"/>
  <c r="B237" i="17"/>
  <c r="D237" i="17"/>
  <c r="F237" i="17"/>
  <c r="H237" i="17"/>
  <c r="A238" i="17"/>
  <c r="B238" i="17"/>
  <c r="D238" i="17"/>
  <c r="F238" i="17"/>
  <c r="H238" i="17"/>
  <c r="A239" i="17"/>
  <c r="B239" i="17"/>
  <c r="D239" i="17"/>
  <c r="F239" i="17"/>
  <c r="H239" i="17"/>
  <c r="A240" i="17"/>
  <c r="B240" i="17"/>
  <c r="D240" i="17"/>
  <c r="F240" i="17"/>
  <c r="H240" i="17"/>
  <c r="A241" i="17"/>
  <c r="B241" i="17"/>
  <c r="D241" i="17"/>
  <c r="F241" i="17"/>
  <c r="H241" i="17"/>
  <c r="A242" i="17"/>
  <c r="B242" i="17"/>
  <c r="D242" i="17"/>
  <c r="F242" i="17"/>
  <c r="H242" i="17"/>
  <c r="A243" i="17"/>
  <c r="B243" i="17"/>
  <c r="D243" i="17"/>
  <c r="F243" i="17"/>
  <c r="H243" i="17"/>
  <c r="A244" i="17"/>
  <c r="B244" i="17"/>
  <c r="D244" i="17"/>
  <c r="F244" i="17"/>
  <c r="H244" i="17"/>
  <c r="A245" i="17"/>
  <c r="B245" i="17"/>
  <c r="D245" i="17"/>
  <c r="F245" i="17"/>
  <c r="H245" i="17"/>
  <c r="A246" i="17"/>
  <c r="B246" i="17"/>
  <c r="D246" i="17"/>
  <c r="F246" i="17"/>
  <c r="H246" i="17"/>
  <c r="A247" i="17"/>
  <c r="B247" i="17"/>
  <c r="D247" i="17"/>
  <c r="F247" i="17"/>
  <c r="H247" i="17"/>
  <c r="A248" i="17"/>
  <c r="B248" i="17"/>
  <c r="D248" i="17"/>
  <c r="F248" i="17"/>
  <c r="H248" i="17"/>
  <c r="A249" i="17"/>
  <c r="B249" i="17"/>
  <c r="D249" i="17"/>
  <c r="F249" i="17"/>
  <c r="H249" i="17"/>
  <c r="A250" i="17"/>
  <c r="B250" i="17"/>
  <c r="D250" i="17"/>
  <c r="F250" i="17"/>
  <c r="H250" i="17"/>
  <c r="A251" i="17"/>
  <c r="B251" i="17"/>
  <c r="D251" i="17"/>
  <c r="F251" i="17"/>
  <c r="H251" i="17"/>
  <c r="A252" i="17"/>
  <c r="B252" i="17"/>
  <c r="D252" i="17"/>
  <c r="F252" i="17"/>
  <c r="H252" i="17"/>
  <c r="A253" i="17"/>
  <c r="B253" i="17"/>
  <c r="D253" i="17"/>
  <c r="F253" i="17"/>
  <c r="H253" i="17"/>
  <c r="A254" i="17"/>
  <c r="B254" i="17"/>
  <c r="D254" i="17"/>
  <c r="F254" i="17"/>
  <c r="H254" i="17"/>
  <c r="A255" i="17"/>
  <c r="B255" i="17"/>
  <c r="D255" i="17"/>
  <c r="F255" i="17"/>
  <c r="H255" i="17"/>
  <c r="A256" i="17"/>
  <c r="B256" i="17"/>
  <c r="D256" i="17"/>
  <c r="F256" i="17"/>
  <c r="H256" i="17"/>
  <c r="A257" i="17"/>
  <c r="B257" i="17"/>
  <c r="D257" i="17"/>
  <c r="F257" i="17"/>
  <c r="H257" i="17"/>
  <c r="A258" i="17"/>
  <c r="B258" i="17"/>
  <c r="D258" i="17"/>
  <c r="F258" i="17"/>
  <c r="H258" i="17"/>
  <c r="A259" i="17"/>
  <c r="B259" i="17"/>
  <c r="D259" i="17"/>
  <c r="F259" i="17"/>
  <c r="H259" i="17"/>
  <c r="A260" i="17"/>
  <c r="B260" i="17"/>
  <c r="D260" i="17"/>
  <c r="F260" i="17"/>
  <c r="H260" i="17"/>
  <c r="A261" i="17"/>
  <c r="B261" i="17"/>
  <c r="D261" i="17"/>
  <c r="F261" i="17"/>
  <c r="H261" i="17"/>
  <c r="A262" i="17"/>
  <c r="B262" i="17"/>
  <c r="D262" i="17"/>
  <c r="F262" i="17"/>
  <c r="H262" i="17"/>
  <c r="A263" i="17"/>
  <c r="B263" i="17"/>
  <c r="D263" i="17"/>
  <c r="F263" i="17"/>
  <c r="H263" i="17"/>
  <c r="A264" i="17"/>
  <c r="B264" i="17"/>
  <c r="D264" i="17"/>
  <c r="F264" i="17"/>
  <c r="H264" i="17"/>
  <c r="A265" i="17"/>
  <c r="B265" i="17"/>
  <c r="D265" i="17"/>
  <c r="F265" i="17"/>
  <c r="H265" i="17"/>
  <c r="A266" i="17"/>
  <c r="B266" i="17"/>
  <c r="D266" i="17"/>
  <c r="F266" i="17"/>
  <c r="H266" i="17"/>
  <c r="A267" i="17"/>
  <c r="B267" i="17"/>
  <c r="D267" i="17"/>
  <c r="F267" i="17"/>
  <c r="H267" i="17"/>
  <c r="A268" i="17"/>
  <c r="B268" i="17"/>
  <c r="D268" i="17"/>
  <c r="F268" i="17"/>
  <c r="H268" i="17"/>
  <c r="A269" i="17"/>
  <c r="B269" i="17"/>
  <c r="D269" i="17"/>
  <c r="F269" i="17"/>
  <c r="H269" i="17"/>
  <c r="A270" i="17"/>
  <c r="B270" i="17"/>
  <c r="D270" i="17"/>
  <c r="F270" i="17"/>
  <c r="H270" i="17"/>
  <c r="A271" i="17"/>
  <c r="B271" i="17"/>
  <c r="D271" i="17"/>
  <c r="F271" i="17"/>
  <c r="H271" i="17"/>
  <c r="A272" i="17"/>
  <c r="B272" i="17"/>
  <c r="D272" i="17"/>
  <c r="F272" i="17"/>
  <c r="H272" i="17"/>
  <c r="A273" i="17"/>
  <c r="B273" i="17"/>
  <c r="D273" i="17"/>
  <c r="F273" i="17"/>
  <c r="H273" i="17"/>
  <c r="A274" i="17"/>
  <c r="B274" i="17"/>
  <c r="D274" i="17"/>
  <c r="F274" i="17"/>
  <c r="H274" i="17"/>
  <c r="A275" i="17"/>
  <c r="B275" i="17"/>
  <c r="D275" i="17"/>
  <c r="F275" i="17"/>
  <c r="H275" i="17"/>
  <c r="A276" i="17"/>
  <c r="B276" i="17"/>
  <c r="D276" i="17"/>
  <c r="F276" i="17"/>
  <c r="H276" i="17"/>
  <c r="A277" i="17"/>
  <c r="B277" i="17"/>
  <c r="D277" i="17"/>
  <c r="F277" i="17"/>
  <c r="H277" i="17"/>
  <c r="A278" i="17"/>
  <c r="B278" i="17"/>
  <c r="D278" i="17"/>
  <c r="F278" i="17"/>
  <c r="H278" i="17"/>
  <c r="A279" i="17"/>
  <c r="B279" i="17"/>
  <c r="D279" i="17"/>
  <c r="F279" i="17"/>
  <c r="H279" i="17"/>
  <c r="A280" i="17"/>
  <c r="B280" i="17"/>
  <c r="D280" i="17"/>
  <c r="F280" i="17"/>
  <c r="H280" i="17"/>
  <c r="A281" i="17"/>
  <c r="B281" i="17"/>
  <c r="D281" i="17"/>
  <c r="F281" i="17"/>
  <c r="H281" i="17"/>
  <c r="A282" i="17"/>
  <c r="B282" i="17"/>
  <c r="D282" i="17"/>
  <c r="F282" i="17"/>
  <c r="H282" i="17"/>
  <c r="A283" i="17"/>
  <c r="B283" i="17"/>
  <c r="D283" i="17"/>
  <c r="F283" i="17"/>
  <c r="H283" i="17"/>
  <c r="A284" i="17"/>
  <c r="B284" i="17"/>
  <c r="D284" i="17"/>
  <c r="F284" i="17"/>
  <c r="H284" i="17"/>
  <c r="A285" i="17"/>
  <c r="B285" i="17"/>
  <c r="D285" i="17"/>
  <c r="F285" i="17"/>
  <c r="H285" i="17"/>
  <c r="A286" i="17"/>
  <c r="B286" i="17"/>
  <c r="D286" i="17"/>
  <c r="F286" i="17"/>
  <c r="H286" i="17"/>
  <c r="A287" i="17"/>
  <c r="B287" i="17"/>
  <c r="D287" i="17"/>
  <c r="F287" i="17"/>
  <c r="H287" i="17"/>
  <c r="A288" i="17"/>
  <c r="B288" i="17"/>
  <c r="D288" i="17"/>
  <c r="F288" i="17"/>
  <c r="H288" i="17"/>
  <c r="A289" i="17"/>
  <c r="B289" i="17"/>
  <c r="D289" i="17"/>
  <c r="F289" i="17"/>
  <c r="H289" i="17"/>
  <c r="A290" i="17"/>
  <c r="B290" i="17"/>
  <c r="D290" i="17"/>
  <c r="F290" i="17"/>
  <c r="H290" i="17"/>
  <c r="A291" i="17"/>
  <c r="B291" i="17"/>
  <c r="D291" i="17"/>
  <c r="F291" i="17"/>
  <c r="H291" i="17"/>
  <c r="A292" i="17"/>
  <c r="B292" i="17"/>
  <c r="D292" i="17"/>
  <c r="F292" i="17"/>
  <c r="H292" i="17"/>
  <c r="A293" i="17"/>
  <c r="B293" i="17"/>
  <c r="D293" i="17"/>
  <c r="F293" i="17"/>
  <c r="H293" i="17"/>
  <c r="A294" i="17"/>
  <c r="B294" i="17"/>
  <c r="D294" i="17"/>
  <c r="F294" i="17"/>
  <c r="H294" i="17"/>
  <c r="A295" i="17"/>
  <c r="B295" i="17"/>
  <c r="D295" i="17"/>
  <c r="F295" i="17"/>
  <c r="H295" i="17"/>
  <c r="A296" i="17"/>
  <c r="B296" i="17"/>
  <c r="D296" i="17"/>
  <c r="F296" i="17"/>
  <c r="H296" i="17"/>
  <c r="A297" i="17"/>
  <c r="B297" i="17"/>
  <c r="D297" i="17"/>
  <c r="F297" i="17"/>
  <c r="H297" i="17"/>
  <c r="A298" i="17"/>
  <c r="B298" i="17"/>
  <c r="D298" i="17"/>
  <c r="F298" i="17"/>
  <c r="H298" i="17"/>
  <c r="A299" i="17"/>
  <c r="B299" i="17"/>
  <c r="D299" i="17"/>
  <c r="F299" i="17"/>
  <c r="H299" i="17"/>
  <c r="A300" i="17"/>
  <c r="B300" i="17"/>
  <c r="D300" i="17"/>
  <c r="F300" i="17"/>
  <c r="H300" i="17"/>
  <c r="A301" i="17"/>
  <c r="B301" i="17"/>
  <c r="D301" i="17"/>
  <c r="F301" i="17"/>
  <c r="H301" i="17"/>
  <c r="A302" i="17"/>
  <c r="B302" i="17"/>
  <c r="D302" i="17"/>
  <c r="F302" i="17"/>
  <c r="H302" i="17"/>
  <c r="A303" i="17"/>
  <c r="B303" i="17"/>
  <c r="D303" i="17"/>
  <c r="F303" i="17"/>
  <c r="H303" i="17"/>
  <c r="A304" i="17"/>
  <c r="B304" i="17"/>
  <c r="D304" i="17"/>
  <c r="F304" i="17"/>
  <c r="H304" i="17"/>
  <c r="A305" i="17"/>
  <c r="B305" i="17"/>
  <c r="D305" i="17"/>
  <c r="F305" i="17"/>
  <c r="H305" i="17"/>
  <c r="A306" i="17"/>
  <c r="B306" i="17"/>
  <c r="D306" i="17"/>
  <c r="F306" i="17"/>
  <c r="H306" i="17"/>
  <c r="A307" i="17"/>
  <c r="B307" i="17"/>
  <c r="D307" i="17"/>
  <c r="F307" i="17"/>
  <c r="H307" i="17"/>
  <c r="A308" i="17"/>
  <c r="B308" i="17"/>
  <c r="D308" i="17"/>
  <c r="F308" i="17"/>
  <c r="H308" i="17"/>
  <c r="A309" i="17"/>
  <c r="B309" i="17"/>
  <c r="D309" i="17"/>
  <c r="F309" i="17"/>
  <c r="H309" i="17"/>
  <c r="A310" i="17"/>
  <c r="B310" i="17"/>
  <c r="D310" i="17"/>
  <c r="F310" i="17"/>
  <c r="H310" i="17"/>
  <c r="A311" i="17"/>
  <c r="B311" i="17"/>
  <c r="D311" i="17"/>
  <c r="F311" i="17"/>
  <c r="H311" i="17"/>
  <c r="A312" i="17"/>
  <c r="B312" i="17"/>
  <c r="D312" i="17"/>
  <c r="F312" i="17"/>
  <c r="H312" i="17"/>
  <c r="A313" i="17"/>
  <c r="B313" i="17"/>
  <c r="D313" i="17"/>
  <c r="F313" i="17"/>
  <c r="H313" i="17"/>
  <c r="A314" i="17"/>
  <c r="B314" i="17"/>
  <c r="D314" i="17"/>
  <c r="F314" i="17"/>
  <c r="H314" i="17"/>
  <c r="A315" i="17"/>
  <c r="B315" i="17"/>
  <c r="D315" i="17"/>
  <c r="F315" i="17"/>
  <c r="H315" i="17"/>
  <c r="A316" i="17"/>
  <c r="B316" i="17"/>
  <c r="D316" i="17"/>
  <c r="F316" i="17"/>
  <c r="H316" i="17"/>
  <c r="A317" i="17"/>
  <c r="B317" i="17"/>
  <c r="D317" i="17"/>
  <c r="F317" i="17"/>
  <c r="H317" i="17"/>
  <c r="A318" i="17"/>
  <c r="B318" i="17"/>
  <c r="D318" i="17"/>
  <c r="F318" i="17"/>
  <c r="H318" i="17"/>
  <c r="A319" i="17"/>
  <c r="B319" i="17"/>
  <c r="D319" i="17"/>
  <c r="F319" i="17"/>
  <c r="H319" i="17"/>
  <c r="A320" i="17"/>
  <c r="B320" i="17"/>
  <c r="D320" i="17"/>
  <c r="F320" i="17"/>
  <c r="H320" i="17"/>
  <c r="A321" i="17"/>
  <c r="B321" i="17"/>
  <c r="D321" i="17"/>
  <c r="F321" i="17"/>
  <c r="H321" i="17"/>
  <c r="A322" i="17"/>
  <c r="B322" i="17"/>
  <c r="D322" i="17"/>
  <c r="F322" i="17"/>
  <c r="H322" i="17"/>
  <c r="A323" i="17"/>
  <c r="B323" i="17"/>
  <c r="D323" i="17"/>
  <c r="F323" i="17"/>
  <c r="H323" i="17"/>
  <c r="A324" i="17"/>
  <c r="B324" i="17"/>
  <c r="D324" i="17"/>
  <c r="F324" i="17"/>
  <c r="H324" i="17"/>
  <c r="A325" i="17"/>
  <c r="B325" i="17"/>
  <c r="D325" i="17"/>
  <c r="F325" i="17"/>
  <c r="H325" i="17"/>
  <c r="A326" i="17"/>
  <c r="B326" i="17"/>
  <c r="D326" i="17"/>
  <c r="F326" i="17"/>
  <c r="H326" i="17"/>
  <c r="A327" i="17"/>
  <c r="B327" i="17"/>
  <c r="D327" i="17"/>
  <c r="F327" i="17"/>
  <c r="H327" i="17"/>
  <c r="A328" i="17"/>
  <c r="B328" i="17"/>
  <c r="D328" i="17"/>
  <c r="F328" i="17"/>
  <c r="H328" i="17"/>
  <c r="A329" i="17"/>
  <c r="B329" i="17"/>
  <c r="D329" i="17"/>
  <c r="F329" i="17"/>
  <c r="H329" i="17"/>
  <c r="A330" i="17"/>
  <c r="B330" i="17"/>
  <c r="D330" i="17"/>
  <c r="F330" i="17"/>
  <c r="H330" i="17"/>
  <c r="A331" i="17"/>
  <c r="B331" i="17"/>
  <c r="D331" i="17"/>
  <c r="F331" i="17"/>
  <c r="H331" i="17"/>
  <c r="A332" i="17"/>
  <c r="B332" i="17"/>
  <c r="D332" i="17"/>
  <c r="F332" i="17"/>
  <c r="H332" i="17"/>
  <c r="A333" i="17"/>
  <c r="B333" i="17"/>
  <c r="D333" i="17"/>
  <c r="F333" i="17"/>
  <c r="H333" i="17"/>
  <c r="A334" i="17"/>
  <c r="B334" i="17"/>
  <c r="D334" i="17"/>
  <c r="F334" i="17"/>
  <c r="H334" i="17"/>
  <c r="A335" i="17"/>
  <c r="B335" i="17"/>
  <c r="D335" i="17"/>
  <c r="F335" i="17"/>
  <c r="H335" i="17"/>
  <c r="A336" i="17"/>
  <c r="B336" i="17"/>
  <c r="D336" i="17"/>
  <c r="F336" i="17"/>
  <c r="H336" i="17"/>
  <c r="A337" i="17"/>
  <c r="B337" i="17"/>
  <c r="D337" i="17"/>
  <c r="F337" i="17"/>
  <c r="H337" i="17"/>
  <c r="A338" i="17"/>
  <c r="B338" i="17"/>
  <c r="D338" i="17"/>
  <c r="F338" i="17"/>
  <c r="H338" i="17"/>
  <c r="A339" i="17"/>
  <c r="B339" i="17"/>
  <c r="D339" i="17"/>
  <c r="F339" i="17"/>
  <c r="H339" i="17"/>
  <c r="A340" i="17"/>
  <c r="B340" i="17"/>
  <c r="D340" i="17"/>
  <c r="F340" i="17"/>
  <c r="H340" i="17"/>
  <c r="A341" i="17"/>
  <c r="B341" i="17"/>
  <c r="D341" i="17"/>
  <c r="F341" i="17"/>
  <c r="H341" i="17"/>
  <c r="A342" i="17"/>
  <c r="B342" i="17"/>
  <c r="D342" i="17"/>
  <c r="F342" i="17"/>
  <c r="H342" i="17"/>
  <c r="A343" i="17"/>
  <c r="B343" i="17"/>
  <c r="D343" i="17"/>
  <c r="F343" i="17"/>
  <c r="H343" i="17"/>
  <c r="A344" i="17"/>
  <c r="B344" i="17"/>
  <c r="D344" i="17"/>
  <c r="F344" i="17"/>
  <c r="H344" i="17"/>
  <c r="A345" i="17"/>
  <c r="B345" i="17"/>
  <c r="D345" i="17"/>
  <c r="F345" i="17"/>
  <c r="H345" i="17"/>
  <c r="A346" i="17"/>
  <c r="B346" i="17"/>
  <c r="D346" i="17"/>
  <c r="F346" i="17"/>
  <c r="H346" i="17"/>
  <c r="A347" i="17"/>
  <c r="B347" i="17"/>
  <c r="D347" i="17"/>
  <c r="F347" i="17"/>
  <c r="H347" i="17"/>
  <c r="A348" i="17"/>
  <c r="B348" i="17"/>
  <c r="D348" i="17"/>
  <c r="F348" i="17"/>
  <c r="H348" i="17"/>
  <c r="A349" i="17"/>
  <c r="B349" i="17"/>
  <c r="D349" i="17"/>
  <c r="F349" i="17"/>
  <c r="H349" i="17"/>
  <c r="A350" i="17"/>
  <c r="B350" i="17"/>
  <c r="D350" i="17"/>
  <c r="F350" i="17"/>
  <c r="H350" i="17"/>
  <c r="A351" i="17"/>
  <c r="B351" i="17"/>
  <c r="D351" i="17"/>
  <c r="F351" i="17"/>
  <c r="H351" i="17"/>
  <c r="A352" i="17"/>
  <c r="B352" i="17"/>
  <c r="D352" i="17"/>
  <c r="F352" i="17"/>
  <c r="H352" i="17"/>
  <c r="A353" i="17"/>
  <c r="B353" i="17"/>
  <c r="D353" i="17"/>
  <c r="F353" i="17"/>
  <c r="H353" i="17"/>
  <c r="A354" i="17"/>
  <c r="B354" i="17"/>
  <c r="D354" i="17"/>
  <c r="F354" i="17"/>
  <c r="H354" i="17"/>
  <c r="A355" i="17"/>
  <c r="B355" i="17"/>
  <c r="D355" i="17"/>
  <c r="F355" i="17"/>
  <c r="H355" i="17"/>
  <c r="A356" i="17"/>
  <c r="B356" i="17"/>
  <c r="D356" i="17"/>
  <c r="F356" i="17"/>
  <c r="H356" i="17"/>
  <c r="A357" i="17"/>
  <c r="B357" i="17"/>
  <c r="D357" i="17"/>
  <c r="F357" i="17"/>
  <c r="H357" i="17"/>
  <c r="A358" i="17"/>
  <c r="B358" i="17"/>
  <c r="D358" i="17"/>
  <c r="F358" i="17"/>
  <c r="H358" i="17"/>
  <c r="A359" i="17"/>
  <c r="B359" i="17"/>
  <c r="D359" i="17"/>
  <c r="F359" i="17"/>
  <c r="H359" i="17"/>
  <c r="A360" i="17"/>
  <c r="B360" i="17"/>
  <c r="D360" i="17"/>
  <c r="F360" i="17"/>
  <c r="H360" i="17"/>
  <c r="A361" i="17"/>
  <c r="B361" i="17"/>
  <c r="D361" i="17"/>
  <c r="F361" i="17"/>
  <c r="H361" i="17"/>
  <c r="A362" i="17"/>
  <c r="B362" i="17"/>
  <c r="D362" i="17"/>
  <c r="F362" i="17"/>
  <c r="H362" i="17"/>
  <c r="A363" i="17"/>
  <c r="B363" i="17"/>
  <c r="D363" i="17"/>
  <c r="F363" i="17"/>
  <c r="H363" i="17"/>
  <c r="A364" i="17"/>
  <c r="B364" i="17"/>
  <c r="D364" i="17"/>
  <c r="F364" i="17"/>
  <c r="H364" i="17"/>
  <c r="A365" i="17"/>
  <c r="B365" i="17"/>
  <c r="D365" i="17"/>
  <c r="F365" i="17"/>
  <c r="H365" i="17"/>
  <c r="A366" i="17"/>
  <c r="B366" i="17"/>
  <c r="D366" i="17"/>
  <c r="F366" i="17"/>
  <c r="H366" i="17"/>
  <c r="A367" i="17"/>
  <c r="B367" i="17"/>
  <c r="D367" i="17"/>
  <c r="F367" i="17"/>
  <c r="H367" i="17"/>
  <c r="A368" i="17"/>
  <c r="B368" i="17"/>
  <c r="D368" i="17"/>
  <c r="F368" i="17"/>
  <c r="H368" i="17"/>
  <c r="A369" i="17"/>
  <c r="B369" i="17"/>
  <c r="D369" i="17"/>
  <c r="F369" i="17"/>
  <c r="H369" i="17"/>
  <c r="A370" i="17"/>
  <c r="B370" i="17"/>
  <c r="D370" i="17"/>
  <c r="F370" i="17"/>
  <c r="H370" i="17"/>
  <c r="A371" i="17"/>
  <c r="B371" i="17"/>
  <c r="D371" i="17"/>
  <c r="F371" i="17"/>
  <c r="H371" i="17"/>
  <c r="A372" i="17"/>
  <c r="B372" i="17"/>
  <c r="D372" i="17"/>
  <c r="F372" i="17"/>
  <c r="H372" i="17"/>
  <c r="A373" i="17"/>
  <c r="B373" i="17"/>
  <c r="D373" i="17"/>
  <c r="F373" i="17"/>
  <c r="H373" i="17"/>
  <c r="A374" i="17"/>
  <c r="B374" i="17"/>
  <c r="D374" i="17"/>
  <c r="F374" i="17"/>
  <c r="H374" i="17"/>
  <c r="A375" i="17"/>
  <c r="B375" i="17"/>
  <c r="D375" i="17"/>
  <c r="F375" i="17"/>
  <c r="H375" i="17"/>
  <c r="A376" i="17"/>
  <c r="B376" i="17"/>
  <c r="D376" i="17"/>
  <c r="F376" i="17"/>
  <c r="H376" i="17"/>
  <c r="A377" i="17"/>
  <c r="B377" i="17"/>
  <c r="D377" i="17"/>
  <c r="F377" i="17"/>
  <c r="H377" i="17"/>
  <c r="A378" i="17"/>
  <c r="B378" i="17"/>
  <c r="D378" i="17"/>
  <c r="F378" i="17"/>
  <c r="H378" i="17"/>
  <c r="A379" i="17"/>
  <c r="B379" i="17"/>
  <c r="D379" i="17"/>
  <c r="F379" i="17"/>
  <c r="H379" i="17"/>
  <c r="A380" i="17"/>
  <c r="B380" i="17"/>
  <c r="D380" i="17"/>
  <c r="F380" i="17"/>
  <c r="H380" i="17"/>
  <c r="A381" i="17"/>
  <c r="B381" i="17"/>
  <c r="D381" i="17"/>
  <c r="F381" i="17"/>
  <c r="H381" i="17"/>
  <c r="A382" i="17"/>
  <c r="B382" i="17"/>
  <c r="D382" i="17"/>
  <c r="F382" i="17"/>
  <c r="H382" i="17"/>
  <c r="A383" i="17"/>
  <c r="B383" i="17"/>
  <c r="D383" i="17"/>
  <c r="F383" i="17"/>
  <c r="H383" i="17"/>
  <c r="A384" i="17"/>
  <c r="B384" i="17"/>
  <c r="D384" i="17"/>
  <c r="F384" i="17"/>
  <c r="H384" i="17"/>
  <c r="A385" i="17"/>
  <c r="B385" i="17"/>
  <c r="D385" i="17"/>
  <c r="F385" i="17"/>
  <c r="H385" i="17"/>
  <c r="A386" i="17"/>
  <c r="B386" i="17"/>
  <c r="D386" i="17"/>
  <c r="F386" i="17"/>
  <c r="H386" i="17"/>
  <c r="A387" i="17"/>
  <c r="B387" i="17"/>
  <c r="D387" i="17"/>
  <c r="F387" i="17"/>
  <c r="H387" i="17"/>
  <c r="A388" i="17"/>
  <c r="B388" i="17"/>
  <c r="D388" i="17"/>
  <c r="F388" i="17"/>
  <c r="H388" i="17"/>
  <c r="A389" i="17"/>
  <c r="B389" i="17"/>
  <c r="D389" i="17"/>
  <c r="F389" i="17"/>
  <c r="H389" i="17"/>
  <c r="A390" i="17"/>
  <c r="B390" i="17"/>
  <c r="D390" i="17"/>
  <c r="F390" i="17"/>
  <c r="H390" i="17"/>
  <c r="A391" i="17"/>
  <c r="B391" i="17"/>
  <c r="D391" i="17"/>
  <c r="F391" i="17"/>
  <c r="H391" i="17"/>
  <c r="A392" i="17"/>
  <c r="B392" i="17"/>
  <c r="D392" i="17"/>
  <c r="F392" i="17"/>
  <c r="H392" i="17"/>
  <c r="A393" i="17"/>
  <c r="B393" i="17"/>
  <c r="D393" i="17"/>
  <c r="F393" i="17"/>
  <c r="H393" i="17"/>
  <c r="A394" i="17"/>
  <c r="B394" i="17"/>
  <c r="D394" i="17"/>
  <c r="F394" i="17"/>
  <c r="H394" i="17"/>
  <c r="A395" i="17"/>
  <c r="B395" i="17"/>
  <c r="D395" i="17"/>
  <c r="F395" i="17"/>
  <c r="H395" i="17"/>
  <c r="A396" i="17"/>
  <c r="B396" i="17"/>
  <c r="D396" i="17"/>
  <c r="F396" i="17"/>
  <c r="H396" i="17"/>
  <c r="A397" i="17"/>
  <c r="B397" i="17"/>
  <c r="D397" i="17"/>
  <c r="F397" i="17"/>
  <c r="H397" i="17"/>
  <c r="A398" i="17"/>
  <c r="B398" i="17"/>
  <c r="D398" i="17"/>
  <c r="F398" i="17"/>
  <c r="H398" i="17"/>
  <c r="A399" i="17"/>
  <c r="B399" i="17"/>
  <c r="D399" i="17"/>
  <c r="F399" i="17"/>
  <c r="H399" i="17"/>
  <c r="A400" i="17"/>
  <c r="B400" i="17"/>
  <c r="D400" i="17"/>
  <c r="F400" i="17"/>
  <c r="H400" i="17"/>
  <c r="A401" i="17"/>
  <c r="B401" i="17"/>
  <c r="D401" i="17"/>
  <c r="F401" i="17"/>
  <c r="H401" i="17"/>
  <c r="A402" i="17"/>
  <c r="B402" i="17"/>
  <c r="D402" i="17"/>
  <c r="F402" i="17"/>
  <c r="H402" i="17"/>
  <c r="A403" i="17"/>
  <c r="B403" i="17"/>
  <c r="D403" i="17"/>
  <c r="F403" i="17"/>
  <c r="H403" i="17"/>
  <c r="A404" i="17"/>
  <c r="B404" i="17"/>
  <c r="D404" i="17"/>
  <c r="F404" i="17"/>
  <c r="H404" i="17"/>
  <c r="A405" i="17"/>
  <c r="B405" i="17"/>
  <c r="D405" i="17"/>
  <c r="F405" i="17"/>
  <c r="H405" i="17"/>
  <c r="A406" i="17"/>
  <c r="B406" i="17"/>
  <c r="D406" i="17"/>
  <c r="F406" i="17"/>
  <c r="H406" i="17"/>
  <c r="A407" i="17"/>
  <c r="B407" i="17"/>
  <c r="D407" i="17"/>
  <c r="F407" i="17"/>
  <c r="H407" i="17"/>
  <c r="A408" i="17"/>
  <c r="B408" i="17"/>
  <c r="D408" i="17"/>
  <c r="F408" i="17"/>
  <c r="H408" i="17"/>
  <c r="A409" i="17"/>
  <c r="B409" i="17"/>
  <c r="D409" i="17"/>
  <c r="F409" i="17"/>
  <c r="H409" i="17"/>
  <c r="A410" i="17"/>
  <c r="B410" i="17"/>
  <c r="D410" i="17"/>
  <c r="F410" i="17"/>
  <c r="H410" i="17"/>
  <c r="A411" i="17"/>
  <c r="B411" i="17"/>
  <c r="D411" i="17"/>
  <c r="F411" i="17"/>
  <c r="H411" i="17"/>
  <c r="A412" i="17"/>
  <c r="B412" i="17"/>
  <c r="D412" i="17"/>
  <c r="F412" i="17"/>
  <c r="H412" i="17"/>
  <c r="A413" i="17"/>
  <c r="B413" i="17"/>
  <c r="D413" i="17"/>
  <c r="F413" i="17"/>
  <c r="H413" i="17"/>
  <c r="A414" i="17"/>
  <c r="B414" i="17"/>
  <c r="D414" i="17"/>
  <c r="F414" i="17"/>
  <c r="H414" i="17"/>
  <c r="A415" i="17"/>
  <c r="B415" i="17"/>
  <c r="D415" i="17"/>
  <c r="F415" i="17"/>
  <c r="H415" i="17"/>
  <c r="A416" i="17"/>
  <c r="B416" i="17"/>
  <c r="D416" i="17"/>
  <c r="F416" i="17"/>
  <c r="H416" i="17"/>
  <c r="A417" i="17"/>
  <c r="B417" i="17"/>
  <c r="D417" i="17"/>
  <c r="F417" i="17"/>
  <c r="H417" i="17"/>
  <c r="A418" i="17"/>
  <c r="B418" i="17"/>
  <c r="D418" i="17"/>
  <c r="F418" i="17"/>
  <c r="H418" i="17"/>
  <c r="A419" i="17"/>
  <c r="B419" i="17"/>
  <c r="D419" i="17"/>
  <c r="F419" i="17"/>
  <c r="H419" i="17"/>
  <c r="A420" i="17"/>
  <c r="B420" i="17"/>
  <c r="D420" i="17"/>
  <c r="F420" i="17"/>
  <c r="H420" i="17"/>
  <c r="A421" i="17"/>
  <c r="B421" i="17"/>
  <c r="D421" i="17"/>
  <c r="F421" i="17"/>
  <c r="H421" i="17"/>
  <c r="A422" i="17"/>
  <c r="B422" i="17"/>
  <c r="D422" i="17"/>
  <c r="F422" i="17"/>
  <c r="H422" i="17"/>
  <c r="A423" i="17"/>
  <c r="B423" i="17"/>
  <c r="D423" i="17"/>
  <c r="F423" i="17"/>
  <c r="H423" i="17"/>
  <c r="A424" i="17"/>
  <c r="B424" i="17"/>
  <c r="D424" i="17"/>
  <c r="F424" i="17"/>
  <c r="H424" i="17"/>
  <c r="A425" i="17"/>
  <c r="B425" i="17"/>
  <c r="D425" i="17"/>
  <c r="F425" i="17"/>
  <c r="H425" i="17"/>
  <c r="A426" i="17"/>
  <c r="B426" i="17"/>
  <c r="D426" i="17"/>
  <c r="F426" i="17"/>
  <c r="H426" i="17"/>
  <c r="A427" i="17"/>
  <c r="B427" i="17"/>
  <c r="D427" i="17"/>
  <c r="F427" i="17"/>
  <c r="H427" i="17"/>
  <c r="A428" i="17"/>
  <c r="B428" i="17"/>
  <c r="D428" i="17"/>
  <c r="F428" i="17"/>
  <c r="H428" i="17"/>
  <c r="A429" i="17"/>
  <c r="B429" i="17"/>
  <c r="D429" i="17"/>
  <c r="F429" i="17"/>
  <c r="H429" i="17"/>
  <c r="A430" i="17"/>
  <c r="B430" i="17"/>
  <c r="D430" i="17"/>
  <c r="F430" i="17"/>
  <c r="H430" i="17"/>
  <c r="A431" i="17"/>
  <c r="B431" i="17"/>
  <c r="D431" i="17"/>
  <c r="F431" i="17"/>
  <c r="H431" i="17"/>
  <c r="A432" i="17"/>
  <c r="B432" i="17"/>
  <c r="D432" i="17"/>
  <c r="F432" i="17"/>
  <c r="H432" i="17"/>
  <c r="A433" i="17"/>
  <c r="B433" i="17"/>
  <c r="D433" i="17"/>
  <c r="F433" i="17"/>
  <c r="H433" i="17"/>
  <c r="A434" i="17"/>
  <c r="B434" i="17"/>
  <c r="D434" i="17"/>
  <c r="F434" i="17"/>
  <c r="H434" i="17"/>
  <c r="A435" i="17"/>
  <c r="B435" i="17"/>
  <c r="D435" i="17"/>
  <c r="F435" i="17"/>
  <c r="H435" i="17"/>
  <c r="A436" i="17"/>
  <c r="B436" i="17"/>
  <c r="D436" i="17"/>
  <c r="F436" i="17"/>
  <c r="H436" i="17"/>
  <c r="A437" i="17"/>
  <c r="B437" i="17"/>
  <c r="D437" i="17"/>
  <c r="F437" i="17"/>
  <c r="H437" i="17"/>
  <c r="A438" i="17"/>
  <c r="B438" i="17"/>
  <c r="D438" i="17"/>
  <c r="F438" i="17"/>
  <c r="H438" i="17"/>
  <c r="A439" i="17"/>
  <c r="B439" i="17"/>
  <c r="D439" i="17"/>
  <c r="F439" i="17"/>
  <c r="H439" i="17"/>
  <c r="A440" i="17"/>
  <c r="B440" i="17"/>
  <c r="D440" i="17"/>
  <c r="F440" i="17"/>
  <c r="H440" i="17"/>
  <c r="A441" i="17"/>
  <c r="B441" i="17"/>
  <c r="D441" i="17"/>
  <c r="F441" i="17"/>
  <c r="H441" i="17"/>
  <c r="A442" i="17"/>
  <c r="B442" i="17"/>
  <c r="D442" i="17"/>
  <c r="F442" i="17"/>
  <c r="H442" i="17"/>
  <c r="A443" i="17"/>
  <c r="B443" i="17"/>
  <c r="D443" i="17"/>
  <c r="F443" i="17"/>
  <c r="H443" i="17"/>
  <c r="A444" i="17"/>
  <c r="B444" i="17"/>
  <c r="D444" i="17"/>
  <c r="F444" i="17"/>
  <c r="H444" i="17"/>
  <c r="A445" i="17"/>
  <c r="B445" i="17"/>
  <c r="D445" i="17"/>
  <c r="F445" i="17"/>
  <c r="H445" i="17"/>
  <c r="A446" i="17"/>
  <c r="B446" i="17"/>
  <c r="D446" i="17"/>
  <c r="F446" i="17"/>
  <c r="H446" i="17"/>
  <c r="A447" i="17"/>
  <c r="B447" i="17"/>
  <c r="D447" i="17"/>
  <c r="F447" i="17"/>
  <c r="H447" i="17"/>
  <c r="A448" i="17"/>
  <c r="B448" i="17"/>
  <c r="D448" i="17"/>
  <c r="F448" i="17"/>
  <c r="H448" i="17"/>
  <c r="A449" i="17"/>
  <c r="B449" i="17"/>
  <c r="D449" i="17"/>
  <c r="F449" i="17"/>
  <c r="H449" i="17"/>
  <c r="A450" i="17"/>
  <c r="B450" i="17"/>
  <c r="D450" i="17"/>
  <c r="F450" i="17"/>
  <c r="H450" i="17"/>
  <c r="A451" i="17"/>
  <c r="B451" i="17"/>
  <c r="D451" i="17"/>
  <c r="F451" i="17"/>
  <c r="H451" i="17"/>
  <c r="A452" i="17"/>
  <c r="B452" i="17"/>
  <c r="D452" i="17"/>
  <c r="F452" i="17"/>
  <c r="H452" i="17"/>
  <c r="A453" i="17"/>
  <c r="B453" i="17"/>
  <c r="D453" i="17"/>
  <c r="F453" i="17"/>
  <c r="H453" i="17"/>
  <c r="A454" i="17"/>
  <c r="B454" i="17"/>
  <c r="D454" i="17"/>
  <c r="F454" i="17"/>
  <c r="H454" i="17"/>
  <c r="A455" i="17"/>
  <c r="B455" i="17"/>
  <c r="D455" i="17"/>
  <c r="F455" i="17"/>
  <c r="H455" i="17"/>
  <c r="A456" i="17"/>
  <c r="B456" i="17"/>
  <c r="D456" i="17"/>
  <c r="F456" i="17"/>
  <c r="H456" i="17"/>
  <c r="A457" i="17"/>
  <c r="B457" i="17"/>
  <c r="D457" i="17"/>
  <c r="F457" i="17"/>
  <c r="H457" i="17"/>
  <c r="A458" i="17"/>
  <c r="B458" i="17"/>
  <c r="D458" i="17"/>
  <c r="F458" i="17"/>
  <c r="H458" i="17"/>
  <c r="A459" i="17"/>
  <c r="B459" i="17"/>
  <c r="D459" i="17"/>
  <c r="F459" i="17"/>
  <c r="H459" i="17"/>
  <c r="A460" i="17"/>
  <c r="B460" i="17"/>
  <c r="D460" i="17"/>
  <c r="F460" i="17"/>
  <c r="H460" i="17"/>
  <c r="A461" i="17"/>
  <c r="B461" i="17"/>
  <c r="D461" i="17"/>
  <c r="F461" i="17"/>
  <c r="H461" i="17"/>
  <c r="A462" i="17"/>
  <c r="B462" i="17"/>
  <c r="D462" i="17"/>
  <c r="F462" i="17"/>
  <c r="H462" i="17"/>
  <c r="A463" i="17"/>
  <c r="B463" i="17"/>
  <c r="D463" i="17"/>
  <c r="F463" i="17"/>
  <c r="H463" i="17"/>
  <c r="A464" i="17"/>
  <c r="B464" i="17"/>
  <c r="D464" i="17"/>
  <c r="F464" i="17"/>
  <c r="H464" i="17"/>
  <c r="A465" i="17"/>
  <c r="B465" i="17"/>
  <c r="D465" i="17"/>
  <c r="F465" i="17"/>
  <c r="H465" i="17"/>
  <c r="A466" i="17"/>
  <c r="B466" i="17"/>
  <c r="D466" i="17"/>
  <c r="F466" i="17"/>
  <c r="H466" i="17"/>
  <c r="A467" i="17"/>
  <c r="B467" i="17"/>
  <c r="D467" i="17"/>
  <c r="F467" i="17"/>
  <c r="H467" i="17"/>
  <c r="A468" i="17"/>
  <c r="B468" i="17"/>
  <c r="D468" i="17"/>
  <c r="F468" i="17"/>
  <c r="H468" i="17"/>
  <c r="A469" i="17"/>
  <c r="B469" i="17"/>
  <c r="D469" i="17"/>
  <c r="F469" i="17"/>
  <c r="H469" i="17"/>
  <c r="A470" i="17"/>
  <c r="B470" i="17"/>
  <c r="D470" i="17"/>
  <c r="F470" i="17"/>
  <c r="H470" i="17"/>
  <c r="A471" i="17"/>
  <c r="B471" i="17"/>
  <c r="D471" i="17"/>
  <c r="F471" i="17"/>
  <c r="H471" i="17"/>
  <c r="A472" i="17"/>
  <c r="B472" i="17"/>
  <c r="D472" i="17"/>
  <c r="F472" i="17"/>
  <c r="H472" i="17"/>
  <c r="A473" i="17"/>
  <c r="B473" i="17"/>
  <c r="D473" i="17"/>
  <c r="F473" i="17"/>
  <c r="H473" i="17"/>
  <c r="A474" i="17"/>
  <c r="B474" i="17"/>
  <c r="D474" i="17"/>
  <c r="F474" i="17"/>
  <c r="H474" i="17"/>
  <c r="A475" i="17"/>
  <c r="B475" i="17"/>
  <c r="D475" i="17"/>
  <c r="F475" i="17"/>
  <c r="H475" i="17"/>
  <c r="A476" i="17"/>
  <c r="B476" i="17"/>
  <c r="D476" i="17"/>
  <c r="F476" i="17"/>
  <c r="H476" i="17"/>
  <c r="A477" i="17"/>
  <c r="B477" i="17"/>
  <c r="D477" i="17"/>
  <c r="F477" i="17"/>
  <c r="H477" i="17"/>
  <c r="A478" i="17"/>
  <c r="B478" i="17"/>
  <c r="D478" i="17"/>
  <c r="F478" i="17"/>
  <c r="H478" i="17"/>
  <c r="A479" i="17"/>
  <c r="B479" i="17"/>
  <c r="D479" i="17"/>
  <c r="F479" i="17"/>
  <c r="H479" i="17"/>
  <c r="A480" i="17"/>
  <c r="B480" i="17"/>
  <c r="D480" i="17"/>
  <c r="F480" i="17"/>
  <c r="H480" i="17"/>
  <c r="A481" i="17"/>
  <c r="B481" i="17"/>
  <c r="D481" i="17"/>
  <c r="F481" i="17"/>
  <c r="H481" i="17"/>
  <c r="A482" i="17"/>
  <c r="B482" i="17"/>
  <c r="D482" i="17"/>
  <c r="F482" i="17"/>
  <c r="H482" i="17"/>
  <c r="A483" i="17"/>
  <c r="B483" i="17"/>
  <c r="D483" i="17"/>
  <c r="F483" i="17"/>
  <c r="H483" i="17"/>
  <c r="A484" i="17"/>
  <c r="B484" i="17"/>
  <c r="D484" i="17"/>
  <c r="F484" i="17"/>
  <c r="H484" i="17"/>
  <c r="A485" i="17"/>
  <c r="B485" i="17"/>
  <c r="D485" i="17"/>
  <c r="F485" i="17"/>
  <c r="H485" i="17"/>
  <c r="A486" i="17"/>
  <c r="B486" i="17"/>
  <c r="D486" i="17"/>
  <c r="F486" i="17"/>
  <c r="H486" i="17"/>
  <c r="A487" i="17"/>
  <c r="B487" i="17"/>
  <c r="D487" i="17"/>
  <c r="F487" i="17"/>
  <c r="H487" i="17"/>
  <c r="A488" i="17"/>
  <c r="B488" i="17"/>
  <c r="D488" i="17"/>
  <c r="F488" i="17"/>
  <c r="H488" i="17"/>
  <c r="A489" i="17"/>
  <c r="B489" i="17"/>
  <c r="D489" i="17"/>
  <c r="F489" i="17"/>
  <c r="H489" i="17"/>
  <c r="A490" i="17"/>
  <c r="B490" i="17"/>
  <c r="D490" i="17"/>
  <c r="F490" i="17"/>
  <c r="H490" i="17"/>
  <c r="A491" i="17"/>
  <c r="B491" i="17"/>
  <c r="D491" i="17"/>
  <c r="F491" i="17"/>
  <c r="H491" i="17"/>
  <c r="A492" i="17"/>
  <c r="B492" i="17"/>
  <c r="D492" i="17"/>
  <c r="F492" i="17"/>
  <c r="H492" i="17"/>
  <c r="A493" i="17"/>
  <c r="B493" i="17"/>
  <c r="D493" i="17"/>
  <c r="F493" i="17"/>
  <c r="H493" i="17"/>
  <c r="A494" i="17"/>
  <c r="B494" i="17"/>
  <c r="D494" i="17"/>
  <c r="F494" i="17"/>
  <c r="H494" i="17"/>
  <c r="A495" i="17"/>
  <c r="B495" i="17"/>
  <c r="D495" i="17"/>
  <c r="F495" i="17"/>
  <c r="H495" i="17"/>
  <c r="A496" i="17"/>
  <c r="B496" i="17"/>
  <c r="D496" i="17"/>
  <c r="F496" i="17"/>
  <c r="H496" i="17"/>
  <c r="A497" i="17"/>
  <c r="B497" i="17"/>
  <c r="D497" i="17"/>
  <c r="F497" i="17"/>
  <c r="H497" i="17"/>
  <c r="A498" i="17"/>
  <c r="B498" i="17"/>
  <c r="D498" i="17"/>
  <c r="F498" i="17"/>
  <c r="H498" i="17"/>
  <c r="A499" i="17"/>
  <c r="B499" i="17"/>
  <c r="D499" i="17"/>
  <c r="F499" i="17"/>
  <c r="H499" i="17"/>
  <c r="A500" i="17"/>
  <c r="B500" i="17"/>
  <c r="D500" i="17"/>
  <c r="F500" i="17"/>
  <c r="H500" i="17"/>
  <c r="A501" i="17"/>
  <c r="B501" i="17"/>
  <c r="D501" i="17"/>
  <c r="F501" i="17"/>
  <c r="H501" i="17"/>
  <c r="H3" i="17"/>
  <c r="F3" i="17"/>
  <c r="D3" i="17"/>
  <c r="B3" i="17"/>
  <c r="A3" i="17"/>
  <c r="K35" i="12"/>
  <c r="V108" i="14" l="1"/>
  <c r="U108" i="14"/>
  <c r="T108" i="14"/>
  <c r="S108" i="14"/>
  <c r="R108" i="14"/>
  <c r="Q108" i="14"/>
  <c r="P108" i="14"/>
  <c r="O108" i="14"/>
  <c r="N108" i="14"/>
  <c r="M108" i="14"/>
  <c r="J108" i="14"/>
  <c r="H108" i="14"/>
  <c r="F108" i="14"/>
  <c r="V107" i="14"/>
  <c r="U107" i="14"/>
  <c r="T107" i="14"/>
  <c r="S107" i="14"/>
  <c r="R107" i="14"/>
  <c r="Q107" i="14"/>
  <c r="P107" i="14"/>
  <c r="O107" i="14"/>
  <c r="N107" i="14"/>
  <c r="M107" i="14"/>
  <c r="J107" i="14"/>
  <c r="H107" i="14"/>
  <c r="F107" i="14"/>
  <c r="V105" i="14"/>
  <c r="U105" i="14"/>
  <c r="T105" i="14"/>
  <c r="S105" i="14"/>
  <c r="R105" i="14"/>
  <c r="Q105" i="14"/>
  <c r="P105" i="14"/>
  <c r="O105" i="14"/>
  <c r="N105" i="14"/>
  <c r="M105" i="14"/>
  <c r="J105" i="14"/>
  <c r="H105" i="14"/>
  <c r="F105" i="14"/>
  <c r="V104" i="14"/>
  <c r="U104" i="14"/>
  <c r="T104" i="14"/>
  <c r="S104" i="14"/>
  <c r="R104" i="14"/>
  <c r="Q104" i="14"/>
  <c r="P104" i="14"/>
  <c r="O104" i="14"/>
  <c r="N104" i="14"/>
  <c r="M104" i="14"/>
  <c r="J104" i="14"/>
  <c r="H104" i="14"/>
  <c r="F104" i="14"/>
  <c r="V103" i="14"/>
  <c r="U103" i="14"/>
  <c r="T103" i="14"/>
  <c r="S103" i="14"/>
  <c r="R103" i="14"/>
  <c r="Q103" i="14"/>
  <c r="P103" i="14"/>
  <c r="O103" i="14"/>
  <c r="N103" i="14"/>
  <c r="M103" i="14"/>
  <c r="J103" i="14"/>
  <c r="H103" i="14"/>
  <c r="F103" i="14"/>
  <c r="V102" i="14"/>
  <c r="U102" i="14"/>
  <c r="T102" i="14"/>
  <c r="S102" i="14"/>
  <c r="R102" i="14"/>
  <c r="Q102" i="14"/>
  <c r="P102" i="14"/>
  <c r="O102" i="14"/>
  <c r="N102" i="14"/>
  <c r="M102" i="14"/>
  <c r="J102" i="14"/>
  <c r="H102" i="14"/>
  <c r="F102" i="14"/>
  <c r="V101" i="14"/>
  <c r="U101" i="14"/>
  <c r="T101" i="14"/>
  <c r="S101" i="14"/>
  <c r="R101" i="14"/>
  <c r="Q101" i="14"/>
  <c r="P101" i="14"/>
  <c r="O101" i="14"/>
  <c r="N101" i="14"/>
  <c r="M101" i="14"/>
  <c r="J101" i="14"/>
  <c r="H101" i="14"/>
  <c r="F101" i="14"/>
  <c r="V99" i="14"/>
  <c r="U99" i="14"/>
  <c r="T99" i="14"/>
  <c r="S99" i="14"/>
  <c r="R99" i="14"/>
  <c r="Q99" i="14"/>
  <c r="P99" i="14"/>
  <c r="O99" i="14"/>
  <c r="N99" i="14"/>
  <c r="M99" i="14"/>
  <c r="J99" i="14"/>
  <c r="H99" i="14"/>
  <c r="F99" i="14"/>
  <c r="V98" i="14"/>
  <c r="U98" i="14"/>
  <c r="T98" i="14"/>
  <c r="S98" i="14"/>
  <c r="R98" i="14"/>
  <c r="Q98" i="14"/>
  <c r="P98" i="14"/>
  <c r="O98" i="14"/>
  <c r="N98" i="14"/>
  <c r="M98" i="14"/>
  <c r="J98" i="14"/>
  <c r="H98" i="14"/>
  <c r="F98" i="14"/>
  <c r="V97" i="14"/>
  <c r="U97" i="14"/>
  <c r="T97" i="14"/>
  <c r="S97" i="14"/>
  <c r="R97" i="14"/>
  <c r="Q97" i="14"/>
  <c r="P97" i="14"/>
  <c r="O97" i="14"/>
  <c r="N97" i="14"/>
  <c r="M97" i="14"/>
  <c r="J97" i="14"/>
  <c r="H97" i="14"/>
  <c r="F97" i="14"/>
  <c r="V96" i="14"/>
  <c r="U96" i="14"/>
  <c r="T96" i="14"/>
  <c r="S96" i="14"/>
  <c r="R96" i="14"/>
  <c r="Q96" i="14"/>
  <c r="P96" i="14"/>
  <c r="O96" i="14"/>
  <c r="N96" i="14"/>
  <c r="M96" i="14"/>
  <c r="J96" i="14"/>
  <c r="H96" i="14"/>
  <c r="F96" i="14"/>
  <c r="V95" i="14"/>
  <c r="U95" i="14"/>
  <c r="T95" i="14"/>
  <c r="S95" i="14"/>
  <c r="R95" i="14"/>
  <c r="Q95" i="14"/>
  <c r="P95" i="14"/>
  <c r="O95" i="14"/>
  <c r="N95" i="14"/>
  <c r="M95" i="14"/>
  <c r="J95" i="14"/>
  <c r="H95" i="14"/>
  <c r="F95" i="14"/>
  <c r="V94" i="14"/>
  <c r="U94" i="14"/>
  <c r="T94" i="14"/>
  <c r="S94" i="14"/>
  <c r="R94" i="14"/>
  <c r="Q94" i="14"/>
  <c r="P94" i="14"/>
  <c r="O94" i="14"/>
  <c r="N94" i="14"/>
  <c r="M94" i="14"/>
  <c r="J94" i="14"/>
  <c r="H94" i="14"/>
  <c r="F94" i="14"/>
  <c r="V93" i="14"/>
  <c r="U93" i="14"/>
  <c r="T93" i="14"/>
  <c r="S93" i="14"/>
  <c r="R93" i="14"/>
  <c r="Q93" i="14"/>
  <c r="P93" i="14"/>
  <c r="O93" i="14"/>
  <c r="N93" i="14"/>
  <c r="M93" i="14"/>
  <c r="J93" i="14"/>
  <c r="H93" i="14"/>
  <c r="F93" i="14"/>
  <c r="V88" i="14"/>
  <c r="U88" i="14"/>
  <c r="T88" i="14"/>
  <c r="S88" i="14"/>
  <c r="R88" i="14"/>
  <c r="Q88" i="14"/>
  <c r="P88" i="14"/>
  <c r="O88" i="14"/>
  <c r="N88" i="14"/>
  <c r="M88" i="14"/>
  <c r="J88" i="14"/>
  <c r="H88" i="14"/>
  <c r="F88" i="14"/>
  <c r="V87" i="14"/>
  <c r="U87" i="14"/>
  <c r="T87" i="14"/>
  <c r="S87" i="14"/>
  <c r="R87" i="14"/>
  <c r="Q87" i="14"/>
  <c r="P87" i="14"/>
  <c r="O87" i="14"/>
  <c r="N87" i="14"/>
  <c r="M87" i="14"/>
  <c r="J87" i="14"/>
  <c r="H87" i="14"/>
  <c r="F87" i="14"/>
  <c r="V85" i="14"/>
  <c r="U85" i="14"/>
  <c r="T85" i="14"/>
  <c r="S85" i="14"/>
  <c r="R85" i="14"/>
  <c r="Q85" i="14"/>
  <c r="P85" i="14"/>
  <c r="O85" i="14"/>
  <c r="N85" i="14"/>
  <c r="M85" i="14"/>
  <c r="J85" i="14"/>
  <c r="H85" i="14"/>
  <c r="F85" i="14"/>
  <c r="V84" i="14"/>
  <c r="U84" i="14"/>
  <c r="T84" i="14"/>
  <c r="S84" i="14"/>
  <c r="R84" i="14"/>
  <c r="Q84" i="14"/>
  <c r="P84" i="14"/>
  <c r="O84" i="14"/>
  <c r="N84" i="14"/>
  <c r="M84" i="14"/>
  <c r="J84" i="14"/>
  <c r="H84" i="14"/>
  <c r="F84" i="14"/>
  <c r="V83" i="14"/>
  <c r="U83" i="14"/>
  <c r="T83" i="14"/>
  <c r="S83" i="14"/>
  <c r="R83" i="14"/>
  <c r="Q83" i="14"/>
  <c r="P83" i="14"/>
  <c r="O83" i="14"/>
  <c r="N83" i="14"/>
  <c r="M83" i="14"/>
  <c r="J83" i="14"/>
  <c r="H83" i="14"/>
  <c r="F83" i="14"/>
  <c r="V82" i="14"/>
  <c r="U82" i="14"/>
  <c r="T82" i="14"/>
  <c r="S82" i="14"/>
  <c r="R82" i="14"/>
  <c r="Q82" i="14"/>
  <c r="P82" i="14"/>
  <c r="O82" i="14"/>
  <c r="N82" i="14"/>
  <c r="M82" i="14"/>
  <c r="J82" i="14"/>
  <c r="H82" i="14"/>
  <c r="F82" i="14"/>
  <c r="V81" i="14"/>
  <c r="U81" i="14"/>
  <c r="T81" i="14"/>
  <c r="S81" i="14"/>
  <c r="R81" i="14"/>
  <c r="Q81" i="14"/>
  <c r="P81" i="14"/>
  <c r="O81" i="14"/>
  <c r="N81" i="14"/>
  <c r="M81" i="14"/>
  <c r="J81" i="14"/>
  <c r="H81" i="14"/>
  <c r="F81" i="14"/>
  <c r="V79" i="14"/>
  <c r="U79" i="14"/>
  <c r="T79" i="14"/>
  <c r="S79" i="14"/>
  <c r="R79" i="14"/>
  <c r="Q79" i="14"/>
  <c r="P79" i="14"/>
  <c r="O79" i="14"/>
  <c r="N79" i="14"/>
  <c r="M79" i="14"/>
  <c r="J79" i="14"/>
  <c r="H79" i="14"/>
  <c r="F79" i="14"/>
  <c r="V78" i="14"/>
  <c r="U78" i="14"/>
  <c r="T78" i="14"/>
  <c r="S78" i="14"/>
  <c r="R78" i="14"/>
  <c r="Q78" i="14"/>
  <c r="P78" i="14"/>
  <c r="O78" i="14"/>
  <c r="N78" i="14"/>
  <c r="M78" i="14"/>
  <c r="J78" i="14"/>
  <c r="H78" i="14"/>
  <c r="F78" i="14"/>
  <c r="V77" i="14"/>
  <c r="U77" i="14"/>
  <c r="T77" i="14"/>
  <c r="S77" i="14"/>
  <c r="R77" i="14"/>
  <c r="Q77" i="14"/>
  <c r="P77" i="14"/>
  <c r="O77" i="14"/>
  <c r="N77" i="14"/>
  <c r="M77" i="14"/>
  <c r="J77" i="14"/>
  <c r="H77" i="14"/>
  <c r="F77" i="14"/>
  <c r="V76" i="14"/>
  <c r="U76" i="14"/>
  <c r="T76" i="14"/>
  <c r="S76" i="14"/>
  <c r="R76" i="14"/>
  <c r="Q76" i="14"/>
  <c r="P76" i="14"/>
  <c r="O76" i="14"/>
  <c r="N76" i="14"/>
  <c r="M76" i="14"/>
  <c r="J76" i="14"/>
  <c r="H76" i="14"/>
  <c r="F76" i="14"/>
  <c r="V75" i="14"/>
  <c r="U75" i="14"/>
  <c r="T75" i="14"/>
  <c r="S75" i="14"/>
  <c r="R75" i="14"/>
  <c r="Q75" i="14"/>
  <c r="P75" i="14"/>
  <c r="O75" i="14"/>
  <c r="N75" i="14"/>
  <c r="M75" i="14"/>
  <c r="J75" i="14"/>
  <c r="H75" i="14"/>
  <c r="F75" i="14"/>
  <c r="V74" i="14"/>
  <c r="U74" i="14"/>
  <c r="T74" i="14"/>
  <c r="S74" i="14"/>
  <c r="R74" i="14"/>
  <c r="Q74" i="14"/>
  <c r="P74" i="14"/>
  <c r="O74" i="14"/>
  <c r="N74" i="14"/>
  <c r="M74" i="14"/>
  <c r="J74" i="14"/>
  <c r="H74" i="14"/>
  <c r="F74" i="14"/>
  <c r="V73" i="14"/>
  <c r="U73" i="14"/>
  <c r="T73" i="14"/>
  <c r="S73" i="14"/>
  <c r="R73" i="14"/>
  <c r="Q73" i="14"/>
  <c r="P73" i="14"/>
  <c r="O73" i="14"/>
  <c r="N73" i="14"/>
  <c r="M73" i="14"/>
  <c r="J73" i="14"/>
  <c r="H73" i="14"/>
  <c r="F73" i="14"/>
  <c r="V68" i="14"/>
  <c r="U68" i="14"/>
  <c r="T68" i="14"/>
  <c r="S68" i="14"/>
  <c r="R68" i="14"/>
  <c r="Q68" i="14"/>
  <c r="P68" i="14"/>
  <c r="O68" i="14"/>
  <c r="N68" i="14"/>
  <c r="M68" i="14"/>
  <c r="J68" i="14"/>
  <c r="F68" i="14"/>
  <c r="V67" i="14"/>
  <c r="U67" i="14"/>
  <c r="T67" i="14"/>
  <c r="S67" i="14"/>
  <c r="R67" i="14"/>
  <c r="Q67" i="14"/>
  <c r="P67" i="14"/>
  <c r="O67" i="14"/>
  <c r="N67" i="14"/>
  <c r="M67" i="14"/>
  <c r="J67" i="14"/>
  <c r="F67" i="14"/>
  <c r="V66" i="14"/>
  <c r="U66" i="14"/>
  <c r="T66" i="14"/>
  <c r="S66" i="14"/>
  <c r="R66" i="14"/>
  <c r="Q66" i="14"/>
  <c r="P66" i="14"/>
  <c r="O66" i="14"/>
  <c r="N66" i="14"/>
  <c r="M66" i="14"/>
  <c r="J66" i="14"/>
  <c r="F66" i="14"/>
  <c r="V65" i="14"/>
  <c r="U65" i="14"/>
  <c r="T65" i="14"/>
  <c r="S65" i="14"/>
  <c r="R65" i="14"/>
  <c r="Q65" i="14"/>
  <c r="P65" i="14"/>
  <c r="O65" i="14"/>
  <c r="N65" i="14"/>
  <c r="M65" i="14"/>
  <c r="J65" i="14"/>
  <c r="F65" i="14"/>
  <c r="V64" i="14"/>
  <c r="U64" i="14"/>
  <c r="T64" i="14"/>
  <c r="S64" i="14"/>
  <c r="R64" i="14"/>
  <c r="Q64" i="14"/>
  <c r="P64" i="14"/>
  <c r="O64" i="14"/>
  <c r="N64" i="14"/>
  <c r="M64" i="14"/>
  <c r="J64" i="14"/>
  <c r="F64" i="14"/>
  <c r="V62" i="14"/>
  <c r="U62" i="14"/>
  <c r="T62" i="14"/>
  <c r="S62" i="14"/>
  <c r="R62" i="14"/>
  <c r="Q62" i="14"/>
  <c r="P62" i="14"/>
  <c r="O62" i="14"/>
  <c r="N62" i="14"/>
  <c r="M62" i="14"/>
  <c r="J62" i="14"/>
  <c r="F62" i="14"/>
  <c r="V61" i="14"/>
  <c r="U61" i="14"/>
  <c r="T61" i="14"/>
  <c r="S61" i="14"/>
  <c r="R61" i="14"/>
  <c r="Q61" i="14"/>
  <c r="P61" i="14"/>
  <c r="O61" i="14"/>
  <c r="N61" i="14"/>
  <c r="M61" i="14"/>
  <c r="J61" i="14"/>
  <c r="F61" i="14"/>
  <c r="V60" i="14"/>
  <c r="U60" i="14"/>
  <c r="T60" i="14"/>
  <c r="S60" i="14"/>
  <c r="R60" i="14"/>
  <c r="Q60" i="14"/>
  <c r="P60" i="14"/>
  <c r="O60" i="14"/>
  <c r="N60" i="14"/>
  <c r="M60" i="14"/>
  <c r="J60" i="14"/>
  <c r="F60" i="14"/>
  <c r="V57" i="14"/>
  <c r="U57" i="14"/>
  <c r="T57" i="14"/>
  <c r="S57" i="14"/>
  <c r="R57" i="14"/>
  <c r="Q57" i="14"/>
  <c r="P57" i="14"/>
  <c r="O57" i="14"/>
  <c r="N57" i="14"/>
  <c r="M57" i="14"/>
  <c r="J57" i="14"/>
  <c r="F57" i="14"/>
  <c r="V56" i="14"/>
  <c r="U56" i="14"/>
  <c r="T56" i="14"/>
  <c r="S56" i="14"/>
  <c r="R56" i="14"/>
  <c r="Q56" i="14"/>
  <c r="P56" i="14"/>
  <c r="O56" i="14"/>
  <c r="N56" i="14"/>
  <c r="M56" i="14"/>
  <c r="J56" i="14"/>
  <c r="F56" i="14"/>
  <c r="V55" i="14"/>
  <c r="U55" i="14"/>
  <c r="T55" i="14"/>
  <c r="S55" i="14"/>
  <c r="R55" i="14"/>
  <c r="Q55" i="14"/>
  <c r="P55" i="14"/>
  <c r="O55" i="14"/>
  <c r="N55" i="14"/>
  <c r="M55" i="14"/>
  <c r="J55" i="14"/>
  <c r="F55" i="14"/>
  <c r="V54" i="14"/>
  <c r="U54" i="14"/>
  <c r="T54" i="14"/>
  <c r="S54" i="14"/>
  <c r="R54" i="14"/>
  <c r="Q54" i="14"/>
  <c r="P54" i="14"/>
  <c r="O54" i="14"/>
  <c r="N54" i="14"/>
  <c r="M54" i="14"/>
  <c r="J54" i="14"/>
  <c r="F54" i="14"/>
  <c r="V52" i="14"/>
  <c r="U52" i="14"/>
  <c r="T52" i="14"/>
  <c r="S52" i="14"/>
  <c r="R52" i="14"/>
  <c r="Q52" i="14"/>
  <c r="P52" i="14"/>
  <c r="O52" i="14"/>
  <c r="N52" i="14"/>
  <c r="M52" i="14"/>
  <c r="J52" i="14"/>
  <c r="F52" i="14"/>
  <c r="V50" i="14"/>
  <c r="U50" i="14"/>
  <c r="T50" i="14"/>
  <c r="S50" i="14"/>
  <c r="R50" i="14"/>
  <c r="Q50" i="14"/>
  <c r="P50" i="14"/>
  <c r="O50" i="14"/>
  <c r="N50" i="14"/>
  <c r="M50" i="14"/>
  <c r="J50" i="14"/>
  <c r="F50" i="14"/>
  <c r="V48" i="14"/>
  <c r="U48" i="14"/>
  <c r="T48" i="14"/>
  <c r="S48" i="14"/>
  <c r="R48" i="14"/>
  <c r="Q48" i="14"/>
  <c r="P48" i="14"/>
  <c r="O48" i="14"/>
  <c r="N48" i="14"/>
  <c r="M48" i="14"/>
  <c r="J48" i="14"/>
  <c r="F48" i="14"/>
  <c r="V47" i="14"/>
  <c r="U47" i="14"/>
  <c r="T47" i="14"/>
  <c r="S47" i="14"/>
  <c r="R47" i="14"/>
  <c r="Q47" i="14"/>
  <c r="P47" i="14"/>
  <c r="O47" i="14"/>
  <c r="N47" i="14"/>
  <c r="M47" i="14"/>
  <c r="J47" i="14"/>
  <c r="F47" i="14"/>
  <c r="V46" i="14"/>
  <c r="U46" i="14"/>
  <c r="T46" i="14"/>
  <c r="S46" i="14"/>
  <c r="R46" i="14"/>
  <c r="Q46" i="14"/>
  <c r="P46" i="14"/>
  <c r="O46" i="14"/>
  <c r="N46" i="14"/>
  <c r="M46" i="14"/>
  <c r="J46" i="14"/>
  <c r="F46" i="14"/>
  <c r="V45" i="14"/>
  <c r="U45" i="14"/>
  <c r="T45" i="14"/>
  <c r="S45" i="14"/>
  <c r="R45" i="14"/>
  <c r="Q45" i="14"/>
  <c r="P45" i="14"/>
  <c r="O45" i="14"/>
  <c r="N45" i="14"/>
  <c r="M45" i="14"/>
  <c r="J45" i="14"/>
  <c r="F45" i="14"/>
  <c r="V44" i="14"/>
  <c r="U44" i="14"/>
  <c r="T44" i="14"/>
  <c r="S44" i="14"/>
  <c r="R44" i="14"/>
  <c r="Q44" i="14"/>
  <c r="P44" i="14"/>
  <c r="O44" i="14"/>
  <c r="N44" i="14"/>
  <c r="M44" i="14"/>
  <c r="J44" i="14"/>
  <c r="F44" i="14"/>
  <c r="V43" i="14"/>
  <c r="U43" i="14"/>
  <c r="T43" i="14"/>
  <c r="S43" i="14"/>
  <c r="R43" i="14"/>
  <c r="Q43" i="14"/>
  <c r="P43" i="14"/>
  <c r="O43" i="14"/>
  <c r="N43" i="14"/>
  <c r="M43" i="14"/>
  <c r="J43" i="14"/>
  <c r="F43" i="14"/>
  <c r="V41" i="14"/>
  <c r="U41" i="14"/>
  <c r="T41" i="14"/>
  <c r="S41" i="14"/>
  <c r="R41" i="14"/>
  <c r="Q41" i="14"/>
  <c r="P41" i="14"/>
  <c r="O41" i="14"/>
  <c r="N41" i="14"/>
  <c r="M41" i="14"/>
  <c r="J41" i="14"/>
  <c r="F41" i="14"/>
  <c r="V40" i="14"/>
  <c r="U40" i="14"/>
  <c r="T40" i="14"/>
  <c r="S40" i="14"/>
  <c r="R40" i="14"/>
  <c r="Q40" i="14"/>
  <c r="P40" i="14"/>
  <c r="O40" i="14"/>
  <c r="N40" i="14"/>
  <c r="M40" i="14"/>
  <c r="J40" i="14"/>
  <c r="F40" i="14"/>
  <c r="V37" i="14"/>
  <c r="U37" i="14"/>
  <c r="T37" i="14"/>
  <c r="S37" i="14"/>
  <c r="R37" i="14"/>
  <c r="Q37" i="14"/>
  <c r="P37" i="14"/>
  <c r="O37" i="14"/>
  <c r="N37" i="14"/>
  <c r="M37" i="14"/>
  <c r="J37" i="14"/>
  <c r="F37" i="14"/>
  <c r="V36" i="14"/>
  <c r="U36" i="14"/>
  <c r="T36" i="14"/>
  <c r="S36" i="14"/>
  <c r="R36" i="14"/>
  <c r="Q36" i="14"/>
  <c r="P36" i="14"/>
  <c r="O36" i="14"/>
  <c r="N36" i="14"/>
  <c r="M36" i="14"/>
  <c r="J36" i="14"/>
  <c r="F36" i="14"/>
  <c r="V35" i="14"/>
  <c r="U35" i="14"/>
  <c r="T35" i="14"/>
  <c r="S35" i="14"/>
  <c r="R35" i="14"/>
  <c r="Q35" i="14"/>
  <c r="P35" i="14"/>
  <c r="O35" i="14"/>
  <c r="N35" i="14"/>
  <c r="M35" i="14"/>
  <c r="J35" i="14"/>
  <c r="F35" i="14"/>
  <c r="V34" i="14"/>
  <c r="U34" i="14"/>
  <c r="T34" i="14"/>
  <c r="S34" i="14"/>
  <c r="R34" i="14"/>
  <c r="Q34" i="14"/>
  <c r="P34" i="14"/>
  <c r="O34" i="14"/>
  <c r="N34" i="14"/>
  <c r="M34" i="14"/>
  <c r="J34" i="14"/>
  <c r="F34" i="14"/>
  <c r="V32" i="14"/>
  <c r="U32" i="14"/>
  <c r="T32" i="14"/>
  <c r="S32" i="14"/>
  <c r="R32" i="14"/>
  <c r="Q32" i="14"/>
  <c r="P32" i="14"/>
  <c r="O32" i="14"/>
  <c r="N32" i="14"/>
  <c r="M32" i="14"/>
  <c r="J32" i="14"/>
  <c r="F32" i="14"/>
  <c r="V31" i="14"/>
  <c r="U31" i="14"/>
  <c r="T31" i="14"/>
  <c r="S31" i="14"/>
  <c r="R31" i="14"/>
  <c r="Q31" i="14"/>
  <c r="P31" i="14"/>
  <c r="O31" i="14"/>
  <c r="N31" i="14"/>
  <c r="M31" i="14"/>
  <c r="J31" i="14"/>
  <c r="F31" i="14"/>
  <c r="V29" i="14"/>
  <c r="U29" i="14"/>
  <c r="T29" i="14"/>
  <c r="S29" i="14"/>
  <c r="R29" i="14"/>
  <c r="Q29" i="14"/>
  <c r="P29" i="14"/>
  <c r="O29" i="14"/>
  <c r="N29" i="14"/>
  <c r="M29" i="14"/>
  <c r="J29" i="14"/>
  <c r="F29" i="14"/>
  <c r="V28" i="14"/>
  <c r="U28" i="14"/>
  <c r="T28" i="14"/>
  <c r="S28" i="14"/>
  <c r="R28" i="14"/>
  <c r="Q28" i="14"/>
  <c r="P28" i="14"/>
  <c r="O28" i="14"/>
  <c r="N28" i="14"/>
  <c r="M28" i="14"/>
  <c r="J28" i="14"/>
  <c r="F28" i="14"/>
  <c r="V27" i="14"/>
  <c r="U27" i="14"/>
  <c r="T27" i="14"/>
  <c r="S27" i="14"/>
  <c r="R27" i="14"/>
  <c r="Q27" i="14"/>
  <c r="P27" i="14"/>
  <c r="O27" i="14"/>
  <c r="N27" i="14"/>
  <c r="M27" i="14"/>
  <c r="J27" i="14"/>
  <c r="F27" i="14"/>
  <c r="V26" i="14"/>
  <c r="U26" i="14"/>
  <c r="T26" i="14"/>
  <c r="S26" i="14"/>
  <c r="R26" i="14"/>
  <c r="Q26" i="14"/>
  <c r="P26" i="14"/>
  <c r="O26" i="14"/>
  <c r="N26" i="14"/>
  <c r="M26" i="14"/>
  <c r="J26" i="14"/>
  <c r="F26" i="14"/>
  <c r="V25" i="14"/>
  <c r="U25" i="14"/>
  <c r="T25" i="14"/>
  <c r="S25" i="14"/>
  <c r="R25" i="14"/>
  <c r="Q25" i="14"/>
  <c r="P25" i="14"/>
  <c r="O25" i="14"/>
  <c r="N25" i="14"/>
  <c r="M25" i="14"/>
  <c r="J25" i="14"/>
  <c r="F25" i="14"/>
  <c r="V24" i="14"/>
  <c r="U24" i="14"/>
  <c r="T24" i="14"/>
  <c r="S24" i="14"/>
  <c r="R24" i="14"/>
  <c r="Q24" i="14"/>
  <c r="P24" i="14"/>
  <c r="O24" i="14"/>
  <c r="N24" i="14"/>
  <c r="M24" i="14"/>
  <c r="J24" i="14"/>
  <c r="F24" i="14"/>
  <c r="V22" i="14"/>
  <c r="U22" i="14"/>
  <c r="T22" i="14"/>
  <c r="S22" i="14"/>
  <c r="R22" i="14"/>
  <c r="Q22" i="14"/>
  <c r="P22" i="14"/>
  <c r="O22" i="14"/>
  <c r="N22" i="14"/>
  <c r="M22" i="14"/>
  <c r="J22" i="14"/>
  <c r="F22" i="14"/>
  <c r="V21" i="14"/>
  <c r="U21" i="14"/>
  <c r="T21" i="14"/>
  <c r="S21" i="14"/>
  <c r="R21" i="14"/>
  <c r="Q21" i="14"/>
  <c r="P21" i="14"/>
  <c r="O21" i="14"/>
  <c r="N21" i="14"/>
  <c r="M21" i="14"/>
  <c r="J21" i="14"/>
  <c r="F21" i="14"/>
  <c r="V20" i="14"/>
  <c r="U20" i="14"/>
  <c r="T20" i="14"/>
  <c r="S20" i="14"/>
  <c r="R20" i="14"/>
  <c r="Q20" i="14"/>
  <c r="P20" i="14"/>
  <c r="O20" i="14"/>
  <c r="N20" i="14"/>
  <c r="M20" i="14"/>
  <c r="J20" i="14"/>
  <c r="F20" i="14"/>
  <c r="V18" i="14"/>
  <c r="U18" i="14"/>
  <c r="T18" i="14"/>
  <c r="S18" i="14"/>
  <c r="R18" i="14"/>
  <c r="Q18" i="14"/>
  <c r="P18" i="14"/>
  <c r="O18" i="14"/>
  <c r="N18" i="14"/>
  <c r="M18" i="14"/>
  <c r="J18" i="14"/>
  <c r="F18" i="14"/>
  <c r="V17" i="14"/>
  <c r="U17" i="14"/>
  <c r="T17" i="14"/>
  <c r="S17" i="14"/>
  <c r="R17" i="14"/>
  <c r="Q17" i="14"/>
  <c r="P17" i="14"/>
  <c r="O17" i="14"/>
  <c r="N17" i="14"/>
  <c r="M17" i="14"/>
  <c r="J17" i="14"/>
  <c r="F17" i="14"/>
  <c r="V16" i="14"/>
  <c r="U16" i="14"/>
  <c r="T16" i="14"/>
  <c r="S16" i="14"/>
  <c r="R16" i="14"/>
  <c r="Q16" i="14"/>
  <c r="P16" i="14"/>
  <c r="O16" i="14"/>
  <c r="N16" i="14"/>
  <c r="M16" i="14"/>
  <c r="J16" i="14"/>
  <c r="F16" i="14"/>
  <c r="V14" i="14"/>
  <c r="U14" i="14"/>
  <c r="T14" i="14"/>
  <c r="S14" i="14"/>
  <c r="R14" i="14"/>
  <c r="Q14" i="14"/>
  <c r="P14" i="14"/>
  <c r="O14" i="14"/>
  <c r="N14" i="14"/>
  <c r="M14" i="14"/>
  <c r="J14" i="14"/>
  <c r="F14" i="14"/>
  <c r="V13" i="14"/>
  <c r="U13" i="14"/>
  <c r="T13" i="14"/>
  <c r="S13" i="14"/>
  <c r="R13" i="14"/>
  <c r="Q13" i="14"/>
  <c r="P13" i="14"/>
  <c r="O13" i="14"/>
  <c r="N13" i="14"/>
  <c r="M13" i="14"/>
  <c r="J13" i="14"/>
  <c r="F13" i="14"/>
  <c r="V12" i="14"/>
  <c r="U12" i="14"/>
  <c r="T12" i="14"/>
  <c r="S12" i="14"/>
  <c r="R12" i="14"/>
  <c r="Q12" i="14"/>
  <c r="P12" i="14"/>
  <c r="O12" i="14"/>
  <c r="N12" i="14"/>
  <c r="M12" i="14"/>
  <c r="J12" i="14"/>
  <c r="F12" i="14"/>
  <c r="V11" i="14"/>
  <c r="U11" i="14"/>
  <c r="T11" i="14"/>
  <c r="S11" i="14"/>
  <c r="R11" i="14"/>
  <c r="Q11" i="14"/>
  <c r="P11" i="14"/>
  <c r="O11" i="14"/>
  <c r="N11" i="14"/>
  <c r="M11" i="14"/>
  <c r="J11" i="14"/>
  <c r="F11" i="14"/>
  <c r="V10" i="14"/>
  <c r="U10" i="14"/>
  <c r="T10" i="14"/>
  <c r="S10" i="14"/>
  <c r="R10" i="14"/>
  <c r="Q10" i="14"/>
  <c r="P10" i="14"/>
  <c r="O10" i="14"/>
  <c r="N10" i="14"/>
  <c r="M10" i="14"/>
  <c r="J10" i="14"/>
  <c r="F10" i="14"/>
  <c r="V8" i="14"/>
  <c r="U8" i="14"/>
  <c r="T8" i="14"/>
  <c r="S8" i="14"/>
  <c r="R8" i="14"/>
  <c r="Q8" i="14"/>
  <c r="P8" i="14"/>
  <c r="O8" i="14"/>
  <c r="N8" i="14"/>
  <c r="M8" i="14"/>
  <c r="J8" i="14"/>
  <c r="F8" i="14"/>
  <c r="V7" i="14"/>
  <c r="U7" i="14"/>
  <c r="T7" i="14"/>
  <c r="S7" i="14"/>
  <c r="R7" i="14"/>
  <c r="Q7" i="14"/>
  <c r="P7" i="14"/>
  <c r="O7" i="14"/>
  <c r="N7" i="14"/>
  <c r="M7" i="14"/>
  <c r="J7" i="14"/>
  <c r="F7" i="14"/>
  <c r="V6" i="14"/>
  <c r="U6" i="14"/>
  <c r="T6" i="14"/>
  <c r="S6" i="14"/>
  <c r="R6" i="14"/>
  <c r="Q6" i="14"/>
  <c r="P6" i="14"/>
  <c r="O6" i="14"/>
  <c r="N6" i="14"/>
  <c r="M6" i="14"/>
  <c r="J6" i="14"/>
  <c r="F6" i="14"/>
  <c r="U106" i="14" l="1"/>
  <c r="N92" i="14"/>
  <c r="T92" i="14"/>
  <c r="F100" i="14"/>
  <c r="H100" i="14"/>
  <c r="J100" i="14"/>
  <c r="N100" i="14"/>
  <c r="P106" i="14"/>
  <c r="R106" i="14"/>
  <c r="H106" i="14"/>
  <c r="J106" i="14"/>
  <c r="M106" i="14"/>
  <c r="O106" i="14"/>
  <c r="M92" i="14"/>
  <c r="O92" i="14"/>
  <c r="Q92" i="14"/>
  <c r="S92" i="14"/>
  <c r="U92" i="14"/>
  <c r="P100" i="14"/>
  <c r="R100" i="14"/>
  <c r="T100" i="14"/>
  <c r="V100" i="14"/>
  <c r="Q106" i="14"/>
  <c r="S106" i="14"/>
  <c r="R92" i="14"/>
  <c r="V92" i="14"/>
  <c r="N106" i="14"/>
  <c r="T106" i="14"/>
  <c r="V106" i="14"/>
  <c r="P92" i="14"/>
  <c r="F92" i="14"/>
  <c r="H92" i="14"/>
  <c r="J92" i="14"/>
  <c r="M100" i="14"/>
  <c r="O100" i="14"/>
  <c r="Q100" i="14"/>
  <c r="S100" i="14"/>
  <c r="U100" i="14"/>
  <c r="F106" i="14"/>
  <c r="R51" i="14" l="1"/>
  <c r="R49" i="14"/>
  <c r="R87" i="13"/>
  <c r="R46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50" i="13" s="1"/>
  <c r="R91" i="14"/>
  <c r="R91" i="13" s="1"/>
  <c r="R38" i="14"/>
  <c r="R4" i="14"/>
  <c r="R3" i="14" l="1"/>
  <c r="R9" i="13" s="1"/>
  <c r="D5" i="13"/>
  <c r="Q91" i="14" l="1"/>
  <c r="Q91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8" i="13"/>
  <c r="D7" i="13"/>
  <c r="Q87" i="13"/>
  <c r="Q46" i="13"/>
  <c r="P91" i="13"/>
  <c r="P87" i="13"/>
  <c r="P46" i="13"/>
  <c r="L87" i="13"/>
  <c r="L46" i="13"/>
  <c r="H87" i="13"/>
  <c r="H46" i="13"/>
  <c r="Q4" i="14" l="1"/>
  <c r="P38" i="14"/>
  <c r="Q38" i="14"/>
  <c r="P58" i="14"/>
  <c r="Q58" i="14"/>
  <c r="P4" i="14"/>
  <c r="Q71" i="14"/>
  <c r="Q50" i="13" s="1"/>
  <c r="P71" i="14"/>
  <c r="P50" i="13" s="1"/>
  <c r="L42" i="4"/>
  <c r="K42" i="4"/>
  <c r="D89" i="13"/>
  <c r="W87" i="13"/>
  <c r="W46" i="13"/>
  <c r="L3" i="4"/>
  <c r="K3" i="4"/>
  <c r="V120" i="13" l="1"/>
  <c r="T120" i="13"/>
  <c r="R120" i="13"/>
  <c r="P120" i="13"/>
  <c r="N120" i="13"/>
  <c r="L120" i="13"/>
  <c r="J120" i="13"/>
  <c r="H120" i="13"/>
  <c r="W38" i="13"/>
  <c r="U38" i="13"/>
  <c r="Q38" i="13"/>
  <c r="M38" i="13"/>
  <c r="V79" i="13"/>
  <c r="T79" i="13"/>
  <c r="R79" i="13"/>
  <c r="P79" i="13"/>
  <c r="N79" i="13"/>
  <c r="L79" i="13"/>
  <c r="J79" i="13"/>
  <c r="H79" i="13"/>
  <c r="R122" i="13"/>
  <c r="R119" i="13"/>
  <c r="R117" i="13"/>
  <c r="R114" i="13"/>
  <c r="R112" i="13"/>
  <c r="R110" i="13"/>
  <c r="R107" i="13"/>
  <c r="R105" i="13"/>
  <c r="R103" i="13"/>
  <c r="R101" i="13"/>
  <c r="R99" i="13"/>
  <c r="R97" i="13"/>
  <c r="R95" i="13"/>
  <c r="R93" i="13"/>
  <c r="R80" i="13"/>
  <c r="R77" i="13"/>
  <c r="R74" i="13"/>
  <c r="R72" i="13"/>
  <c r="R70" i="13"/>
  <c r="R67" i="13"/>
  <c r="R65" i="13"/>
  <c r="R63" i="13"/>
  <c r="R61" i="13"/>
  <c r="R59" i="13"/>
  <c r="R57" i="13"/>
  <c r="R55" i="13"/>
  <c r="R53" i="13"/>
  <c r="R40" i="13"/>
  <c r="R37" i="13"/>
  <c r="R35" i="13"/>
  <c r="R32" i="13"/>
  <c r="R30" i="13"/>
  <c r="R28" i="13"/>
  <c r="R25" i="13"/>
  <c r="R23" i="13"/>
  <c r="R21" i="13"/>
  <c r="R19" i="13"/>
  <c r="R17" i="13"/>
  <c r="R15" i="13"/>
  <c r="R13" i="13"/>
  <c r="R11" i="13"/>
  <c r="W120" i="13"/>
  <c r="U120" i="13"/>
  <c r="Q120" i="13"/>
  <c r="M120" i="13"/>
  <c r="V38" i="13"/>
  <c r="T38" i="13"/>
  <c r="R38" i="13"/>
  <c r="P38" i="13"/>
  <c r="N38" i="13"/>
  <c r="J38" i="13"/>
  <c r="U79" i="13"/>
  <c r="Q79" i="13"/>
  <c r="M79" i="13"/>
  <c r="R121" i="13"/>
  <c r="R115" i="13"/>
  <c r="R111" i="13"/>
  <c r="R106" i="13"/>
  <c r="R102" i="13"/>
  <c r="R98" i="13"/>
  <c r="R94" i="13"/>
  <c r="R78" i="13"/>
  <c r="R73" i="13"/>
  <c r="R69" i="13"/>
  <c r="R64" i="13"/>
  <c r="R60" i="13"/>
  <c r="R56" i="13"/>
  <c r="R52" i="13"/>
  <c r="R36" i="13"/>
  <c r="R31" i="13"/>
  <c r="R26" i="13"/>
  <c r="R22" i="13"/>
  <c r="R18" i="13"/>
  <c r="R14" i="13"/>
  <c r="L38" i="13"/>
  <c r="H38" i="13"/>
  <c r="W79" i="13"/>
  <c r="R118" i="13"/>
  <c r="R113" i="13"/>
  <c r="R108" i="13"/>
  <c r="R104" i="13"/>
  <c r="R100" i="13"/>
  <c r="R96" i="13"/>
  <c r="R81" i="13"/>
  <c r="R76" i="13"/>
  <c r="R71" i="13"/>
  <c r="R66" i="13"/>
  <c r="R62" i="13"/>
  <c r="R58" i="13"/>
  <c r="R54" i="13"/>
  <c r="R39" i="13"/>
  <c r="R33" i="13"/>
  <c r="R29" i="13"/>
  <c r="R24" i="13"/>
  <c r="R20" i="13"/>
  <c r="R16" i="13"/>
  <c r="R12" i="13"/>
  <c r="Q3" i="14"/>
  <c r="Q9" i="13" s="1"/>
  <c r="P3" i="14"/>
  <c r="P9" i="13" s="1"/>
  <c r="W122" i="13"/>
  <c r="N122" i="13"/>
  <c r="J122" i="13"/>
  <c r="W81" i="13"/>
  <c r="N81" i="13"/>
  <c r="J81" i="13"/>
  <c r="V122" i="13"/>
  <c r="Q122" i="13"/>
  <c r="M122" i="13"/>
  <c r="V81" i="13"/>
  <c r="Q81" i="13"/>
  <c r="M81" i="13"/>
  <c r="U122" i="13"/>
  <c r="P122" i="13"/>
  <c r="L122" i="13"/>
  <c r="H122" i="13"/>
  <c r="U81" i="13"/>
  <c r="P81" i="13"/>
  <c r="L81" i="13"/>
  <c r="H81" i="13"/>
  <c r="T122" i="13"/>
  <c r="T81" i="13"/>
  <c r="T121" i="13"/>
  <c r="Q121" i="13"/>
  <c r="M121" i="13"/>
  <c r="T119" i="13"/>
  <c r="Q119" i="13"/>
  <c r="M119" i="13"/>
  <c r="T118" i="13"/>
  <c r="Q118" i="13"/>
  <c r="M118" i="13"/>
  <c r="T93" i="13"/>
  <c r="Q93" i="13"/>
  <c r="M93" i="13"/>
  <c r="T80" i="13"/>
  <c r="Q80" i="13"/>
  <c r="M80" i="13"/>
  <c r="T78" i="13"/>
  <c r="Q78" i="13"/>
  <c r="M78" i="13"/>
  <c r="T77" i="13"/>
  <c r="Q77" i="13"/>
  <c r="M77" i="13"/>
  <c r="W52" i="13"/>
  <c r="U52" i="13"/>
  <c r="P52" i="13"/>
  <c r="N52" i="13"/>
  <c r="L52" i="13"/>
  <c r="J52" i="13"/>
  <c r="H52" i="13"/>
  <c r="W39" i="13"/>
  <c r="U39" i="13"/>
  <c r="P39" i="13"/>
  <c r="N39" i="13"/>
  <c r="L39" i="13"/>
  <c r="J39" i="13"/>
  <c r="H39" i="13"/>
  <c r="W37" i="13"/>
  <c r="U37" i="13"/>
  <c r="W121" i="13"/>
  <c r="U121" i="13"/>
  <c r="P121" i="13"/>
  <c r="N121" i="13"/>
  <c r="L121" i="13"/>
  <c r="J121" i="13"/>
  <c r="H121" i="13"/>
  <c r="W119" i="13"/>
  <c r="U119" i="13"/>
  <c r="P119" i="13"/>
  <c r="N119" i="13"/>
  <c r="L119" i="13"/>
  <c r="J119" i="13"/>
  <c r="H119" i="13"/>
  <c r="W118" i="13"/>
  <c r="U118" i="13"/>
  <c r="P118" i="13"/>
  <c r="N118" i="13"/>
  <c r="L118" i="13"/>
  <c r="J118" i="13"/>
  <c r="H118" i="13"/>
  <c r="W93" i="13"/>
  <c r="U93" i="13"/>
  <c r="P93" i="13"/>
  <c r="N93" i="13"/>
  <c r="L93" i="13"/>
  <c r="J93" i="13"/>
  <c r="H93" i="13"/>
  <c r="W80" i="13"/>
  <c r="U80" i="13"/>
  <c r="P80" i="13"/>
  <c r="N80" i="13"/>
  <c r="L80" i="13"/>
  <c r="J80" i="13"/>
  <c r="H80" i="13"/>
  <c r="W78" i="13"/>
  <c r="U78" i="13"/>
  <c r="P78" i="13"/>
  <c r="N78" i="13"/>
  <c r="L78" i="13"/>
  <c r="J78" i="13"/>
  <c r="H78" i="13"/>
  <c r="W77" i="13"/>
  <c r="U77" i="13"/>
  <c r="P77" i="13"/>
  <c r="N77" i="13"/>
  <c r="L77" i="13"/>
  <c r="J77" i="13"/>
  <c r="H77" i="13"/>
  <c r="T52" i="13"/>
  <c r="Q52" i="13"/>
  <c r="M52" i="13"/>
  <c r="T39" i="13"/>
  <c r="Q39" i="13"/>
  <c r="M39" i="13"/>
  <c r="P37" i="13"/>
  <c r="N37" i="13"/>
  <c r="L37" i="13"/>
  <c r="J37" i="13"/>
  <c r="H37" i="13"/>
  <c r="W36" i="13"/>
  <c r="U36" i="13"/>
  <c r="P36" i="13"/>
  <c r="N36" i="13"/>
  <c r="L36" i="13"/>
  <c r="J36" i="13"/>
  <c r="H36" i="13"/>
  <c r="W11" i="13"/>
  <c r="U11" i="13"/>
  <c r="P11" i="13"/>
  <c r="N11" i="13"/>
  <c r="L11" i="13"/>
  <c r="J11" i="13"/>
  <c r="H11" i="13"/>
  <c r="T37" i="13"/>
  <c r="Q37" i="13"/>
  <c r="M37" i="13"/>
  <c r="T36" i="13"/>
  <c r="Q36" i="13"/>
  <c r="M36" i="13"/>
  <c r="T11" i="13"/>
  <c r="Q11" i="13"/>
  <c r="M11" i="13"/>
  <c r="Q117" i="13"/>
  <c r="Q114" i="13"/>
  <c r="Q112" i="13"/>
  <c r="Q110" i="13"/>
  <c r="Q107" i="13"/>
  <c r="Q105" i="13"/>
  <c r="Q103" i="13"/>
  <c r="Q101" i="13"/>
  <c r="Q99" i="13"/>
  <c r="Q97" i="13"/>
  <c r="Q95" i="13"/>
  <c r="Q76" i="13"/>
  <c r="Q73" i="13"/>
  <c r="Q71" i="13"/>
  <c r="Q69" i="13"/>
  <c r="Q66" i="13"/>
  <c r="Q64" i="13"/>
  <c r="Q62" i="13"/>
  <c r="Q60" i="13"/>
  <c r="Q58" i="13"/>
  <c r="Q56" i="13"/>
  <c r="Q54" i="13"/>
  <c r="Q35" i="13"/>
  <c r="Q32" i="13"/>
  <c r="Q30" i="13"/>
  <c r="Q28" i="13"/>
  <c r="Q25" i="13"/>
  <c r="Q23" i="13"/>
  <c r="Q21" i="13"/>
  <c r="Q19" i="13"/>
  <c r="Q17" i="13"/>
  <c r="Q15" i="13"/>
  <c r="Q13" i="13"/>
  <c r="P117" i="13"/>
  <c r="P114" i="13"/>
  <c r="P112" i="13"/>
  <c r="P110" i="13"/>
  <c r="P107" i="13"/>
  <c r="P105" i="13"/>
  <c r="P103" i="13"/>
  <c r="P101" i="13"/>
  <c r="P99" i="13"/>
  <c r="P97" i="13"/>
  <c r="P95" i="13"/>
  <c r="P76" i="13"/>
  <c r="P73" i="13"/>
  <c r="P71" i="13"/>
  <c r="P69" i="13"/>
  <c r="P66" i="13"/>
  <c r="P64" i="13"/>
  <c r="P62" i="13"/>
  <c r="P60" i="13"/>
  <c r="P58" i="13"/>
  <c r="P56" i="13"/>
  <c r="P54" i="13"/>
  <c r="P40" i="13"/>
  <c r="P33" i="13"/>
  <c r="P31" i="13"/>
  <c r="P29" i="13"/>
  <c r="P26" i="13"/>
  <c r="P24" i="13"/>
  <c r="P22" i="13"/>
  <c r="P20" i="13"/>
  <c r="Q113" i="13"/>
  <c r="Q108" i="13"/>
  <c r="Q104" i="13"/>
  <c r="Q100" i="13"/>
  <c r="Q96" i="13"/>
  <c r="Q72" i="13"/>
  <c r="Q67" i="13"/>
  <c r="Q63" i="13"/>
  <c r="Q59" i="13"/>
  <c r="Q55" i="13"/>
  <c r="Q40" i="13"/>
  <c r="Q31" i="13"/>
  <c r="Q26" i="13"/>
  <c r="Q22" i="13"/>
  <c r="Q18" i="13"/>
  <c r="Q14" i="13"/>
  <c r="P113" i="13"/>
  <c r="P108" i="13"/>
  <c r="P104" i="13"/>
  <c r="P100" i="13"/>
  <c r="P96" i="13"/>
  <c r="P72" i="13"/>
  <c r="P67" i="13"/>
  <c r="P63" i="13"/>
  <c r="P59" i="13"/>
  <c r="P55" i="13"/>
  <c r="P32" i="13"/>
  <c r="P28" i="13"/>
  <c r="P23" i="13"/>
  <c r="P19" i="13"/>
  <c r="P17" i="13"/>
  <c r="P15" i="13"/>
  <c r="P13" i="13"/>
  <c r="L117" i="13"/>
  <c r="L114" i="13"/>
  <c r="L112" i="13"/>
  <c r="L110" i="13"/>
  <c r="L107" i="13"/>
  <c r="L105" i="13"/>
  <c r="L103" i="13"/>
  <c r="L101" i="13"/>
  <c r="L99" i="13"/>
  <c r="L97" i="13"/>
  <c r="L95" i="13"/>
  <c r="L76" i="13"/>
  <c r="L73" i="13"/>
  <c r="L71" i="13"/>
  <c r="L69" i="13"/>
  <c r="L66" i="13"/>
  <c r="L64" i="13"/>
  <c r="L62" i="13"/>
  <c r="L60" i="13"/>
  <c r="L58" i="13"/>
  <c r="L56" i="13"/>
  <c r="L54" i="13"/>
  <c r="L40" i="13"/>
  <c r="L33" i="13"/>
  <c r="L31" i="13"/>
  <c r="L29" i="13"/>
  <c r="L26" i="13"/>
  <c r="L24" i="13"/>
  <c r="L22" i="13"/>
  <c r="L20" i="13"/>
  <c r="L18" i="13"/>
  <c r="L16" i="13"/>
  <c r="L14" i="13"/>
  <c r="L12" i="13"/>
  <c r="H115" i="13"/>
  <c r="H113" i="13"/>
  <c r="H111" i="13"/>
  <c r="H108" i="13"/>
  <c r="H106" i="13"/>
  <c r="H104" i="13"/>
  <c r="H102" i="13"/>
  <c r="H100" i="13"/>
  <c r="H98" i="13"/>
  <c r="H96" i="13"/>
  <c r="H94" i="13"/>
  <c r="H74" i="13"/>
  <c r="H72" i="13"/>
  <c r="H70" i="13"/>
  <c r="H67" i="13"/>
  <c r="H65" i="13"/>
  <c r="H63" i="13"/>
  <c r="H61" i="13"/>
  <c r="H59" i="13"/>
  <c r="H57" i="13"/>
  <c r="H55" i="13"/>
  <c r="H53" i="13"/>
  <c r="H35" i="13"/>
  <c r="H32" i="13"/>
  <c r="H30" i="13"/>
  <c r="H28" i="13"/>
  <c r="H25" i="13"/>
  <c r="H23" i="13"/>
  <c r="H21" i="13"/>
  <c r="H19" i="13"/>
  <c r="H17" i="13"/>
  <c r="H15" i="13"/>
  <c r="H13" i="13"/>
  <c r="Q115" i="13"/>
  <c r="Q111" i="13"/>
  <c r="Q106" i="13"/>
  <c r="Q102" i="13"/>
  <c r="Q98" i="13"/>
  <c r="Q94" i="13"/>
  <c r="Q74" i="13"/>
  <c r="Q70" i="13"/>
  <c r="Q65" i="13"/>
  <c r="Q61" i="13"/>
  <c r="Q57" i="13"/>
  <c r="Q53" i="13"/>
  <c r="Q33" i="13"/>
  <c r="Q29" i="13"/>
  <c r="Q24" i="13"/>
  <c r="Q20" i="13"/>
  <c r="Q16" i="13"/>
  <c r="Q12" i="13"/>
  <c r="P115" i="13"/>
  <c r="P111" i="13"/>
  <c r="P106" i="13"/>
  <c r="P102" i="13"/>
  <c r="P98" i="13"/>
  <c r="P94" i="13"/>
  <c r="P74" i="13"/>
  <c r="P70" i="13"/>
  <c r="P65" i="13"/>
  <c r="P61" i="13"/>
  <c r="P57" i="13"/>
  <c r="P53" i="13"/>
  <c r="P35" i="13"/>
  <c r="P30" i="13"/>
  <c r="P25" i="13"/>
  <c r="P21" i="13"/>
  <c r="P18" i="13"/>
  <c r="P16" i="13"/>
  <c r="P14" i="13"/>
  <c r="P12" i="13"/>
  <c r="L115" i="13"/>
  <c r="L113" i="13"/>
  <c r="L111" i="13"/>
  <c r="L108" i="13"/>
  <c r="L104" i="13"/>
  <c r="L100" i="13"/>
  <c r="L96" i="13"/>
  <c r="L72" i="13"/>
  <c r="L67" i="13"/>
  <c r="L63" i="13"/>
  <c r="L59" i="13"/>
  <c r="L55" i="13"/>
  <c r="L32" i="13"/>
  <c r="L28" i="13"/>
  <c r="L23" i="13"/>
  <c r="L19" i="13"/>
  <c r="L15" i="13"/>
  <c r="H117" i="13"/>
  <c r="H112" i="13"/>
  <c r="H107" i="13"/>
  <c r="H103" i="13"/>
  <c r="H99" i="13"/>
  <c r="H95" i="13"/>
  <c r="H76" i="13"/>
  <c r="H71" i="13"/>
  <c r="H66" i="13"/>
  <c r="H62" i="13"/>
  <c r="H58" i="13"/>
  <c r="H54" i="13"/>
  <c r="H40" i="13"/>
  <c r="H31" i="13"/>
  <c r="H26" i="13"/>
  <c r="H22" i="13"/>
  <c r="H18" i="13"/>
  <c r="H14" i="13"/>
  <c r="L106" i="13"/>
  <c r="L102" i="13"/>
  <c r="L98" i="13"/>
  <c r="L94" i="13"/>
  <c r="L74" i="13"/>
  <c r="L70" i="13"/>
  <c r="L65" i="13"/>
  <c r="L61" i="13"/>
  <c r="L57" i="13"/>
  <c r="L53" i="13"/>
  <c r="L35" i="13"/>
  <c r="L30" i="13"/>
  <c r="L25" i="13"/>
  <c r="L21" i="13"/>
  <c r="L17" i="13"/>
  <c r="L13" i="13"/>
  <c r="H114" i="13"/>
  <c r="H110" i="13"/>
  <c r="H105" i="13"/>
  <c r="H101" i="13"/>
  <c r="H97" i="13"/>
  <c r="H73" i="13"/>
  <c r="H69" i="13"/>
  <c r="H64" i="13"/>
  <c r="H60" i="13"/>
  <c r="H56" i="13"/>
  <c r="H33" i="13"/>
  <c r="H29" i="13"/>
  <c r="H24" i="13"/>
  <c r="H20" i="13"/>
  <c r="H16" i="13"/>
  <c r="H12" i="13"/>
  <c r="T17" i="13"/>
  <c r="W14" i="13"/>
  <c r="W22" i="13"/>
  <c r="W31" i="13"/>
  <c r="W56" i="13"/>
  <c r="W64" i="13"/>
  <c r="W73" i="13"/>
  <c r="W99" i="13"/>
  <c r="W107" i="13"/>
  <c r="W117" i="13"/>
  <c r="W18" i="13"/>
  <c r="W26" i="13"/>
  <c r="W40" i="13"/>
  <c r="W60" i="13"/>
  <c r="W69" i="13"/>
  <c r="W95" i="13"/>
  <c r="W103" i="13"/>
  <c r="W112" i="13"/>
  <c r="W12" i="13"/>
  <c r="W16" i="13"/>
  <c r="W20" i="13"/>
  <c r="W24" i="13"/>
  <c r="W29" i="13"/>
  <c r="W33" i="13"/>
  <c r="W54" i="13"/>
  <c r="W58" i="13"/>
  <c r="W62" i="13"/>
  <c r="W66" i="13"/>
  <c r="W71" i="13"/>
  <c r="W76" i="13"/>
  <c r="W97" i="13"/>
  <c r="W101" i="13"/>
  <c r="W105" i="13"/>
  <c r="W110" i="13"/>
  <c r="W114" i="13"/>
  <c r="W13" i="13"/>
  <c r="W15" i="13"/>
  <c r="W17" i="13"/>
  <c r="W19" i="13"/>
  <c r="W21" i="13"/>
  <c r="W23" i="13"/>
  <c r="W25" i="13"/>
  <c r="W28" i="13"/>
  <c r="W30" i="13"/>
  <c r="W32" i="13"/>
  <c r="W35" i="13"/>
  <c r="W53" i="13"/>
  <c r="W55" i="13"/>
  <c r="W57" i="13"/>
  <c r="W59" i="13"/>
  <c r="W61" i="13"/>
  <c r="W63" i="13"/>
  <c r="W65" i="13"/>
  <c r="W67" i="13"/>
  <c r="W70" i="13"/>
  <c r="W72" i="13"/>
  <c r="W74" i="13"/>
  <c r="W94" i="13"/>
  <c r="W96" i="13"/>
  <c r="W98" i="13"/>
  <c r="W100" i="13"/>
  <c r="W102" i="13"/>
  <c r="W104" i="13"/>
  <c r="W106" i="13"/>
  <c r="W108" i="13"/>
  <c r="W111" i="13"/>
  <c r="W113" i="13"/>
  <c r="W115" i="13"/>
  <c r="R68" i="13" l="1"/>
  <c r="R75" i="13"/>
  <c r="R27" i="13"/>
  <c r="R123" i="13"/>
  <c r="R34" i="13"/>
  <c r="R82" i="13"/>
  <c r="R109" i="13"/>
  <c r="R116" i="13"/>
  <c r="R41" i="13"/>
  <c r="R42" i="13" s="1"/>
  <c r="Q27" i="13"/>
  <c r="H123" i="13"/>
  <c r="H82" i="13"/>
  <c r="W123" i="13"/>
  <c r="W82" i="13"/>
  <c r="L82" i="13"/>
  <c r="Q82" i="13"/>
  <c r="P41" i="13"/>
  <c r="P123" i="13"/>
  <c r="L41" i="13"/>
  <c r="H27" i="13"/>
  <c r="H116" i="13"/>
  <c r="L68" i="13"/>
  <c r="L109" i="13"/>
  <c r="L123" i="13"/>
  <c r="P82" i="13"/>
  <c r="Q123" i="13"/>
  <c r="W109" i="13"/>
  <c r="H68" i="13"/>
  <c r="W68" i="13"/>
  <c r="P68" i="13"/>
  <c r="P109" i="13"/>
  <c r="Q68" i="13"/>
  <c r="Q109" i="13"/>
  <c r="H109" i="13"/>
  <c r="L27" i="13"/>
  <c r="W27" i="13"/>
  <c r="P27" i="13"/>
  <c r="H34" i="13"/>
  <c r="L34" i="13"/>
  <c r="H41" i="13"/>
  <c r="V59" i="14"/>
  <c r="L116" i="13"/>
  <c r="P75" i="13"/>
  <c r="Q34" i="13"/>
  <c r="Q116" i="13"/>
  <c r="H75" i="13"/>
  <c r="L75" i="13"/>
  <c r="P116" i="13"/>
  <c r="Q41" i="13"/>
  <c r="Q75" i="13"/>
  <c r="W41" i="13"/>
  <c r="P34" i="13"/>
  <c r="W75" i="13"/>
  <c r="W116" i="13"/>
  <c r="W34" i="13"/>
  <c r="R83" i="13" l="1"/>
  <c r="R47" i="13"/>
  <c r="R49" i="13" s="1"/>
  <c r="R51" i="13" s="1"/>
  <c r="R88" i="13"/>
  <c r="R90" i="13" s="1"/>
  <c r="R92" i="13" s="1"/>
  <c r="R6" i="13"/>
  <c r="R8" i="13" s="1"/>
  <c r="R10" i="13" s="1"/>
  <c r="R124" i="13"/>
  <c r="L88" i="13"/>
  <c r="L90" i="13" s="1"/>
  <c r="P47" i="13"/>
  <c r="P49" i="13" s="1"/>
  <c r="P51" i="13" s="1"/>
  <c r="H6" i="13"/>
  <c r="H8" i="13" s="1"/>
  <c r="L83" i="13"/>
  <c r="H42" i="13"/>
  <c r="Q83" i="13"/>
  <c r="Q88" i="13"/>
  <c r="Q90" i="13" s="1"/>
  <c r="P83" i="13"/>
  <c r="H88" i="13"/>
  <c r="H90" i="13" s="1"/>
  <c r="Q124" i="13"/>
  <c r="H83" i="13"/>
  <c r="Q6" i="13"/>
  <c r="Q8" i="13" s="1"/>
  <c r="W42" i="13"/>
  <c r="W88" i="13"/>
  <c r="W90" i="13" s="1"/>
  <c r="P124" i="13"/>
  <c r="Q42" i="13"/>
  <c r="L124" i="13"/>
  <c r="L6" i="13"/>
  <c r="L8" i="13" s="1"/>
  <c r="H124" i="13"/>
  <c r="L42" i="13"/>
  <c r="L47" i="13"/>
  <c r="L49" i="13" s="1"/>
  <c r="H47" i="13"/>
  <c r="H49" i="13" s="1"/>
  <c r="Q47" i="13"/>
  <c r="Q49" i="13" s="1"/>
  <c r="P88" i="13"/>
  <c r="P90" i="13" s="1"/>
  <c r="P92" i="13" s="1"/>
  <c r="P6" i="13"/>
  <c r="P8" i="13" s="1"/>
  <c r="P10" i="13" s="1"/>
  <c r="W47" i="13"/>
  <c r="W49" i="13" s="1"/>
  <c r="W6" i="13"/>
  <c r="W8" i="13" s="1"/>
  <c r="W83" i="13"/>
  <c r="W124" i="13"/>
  <c r="P42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L68" i="14" l="1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7" i="13"/>
  <c r="G87" i="13"/>
  <c r="I87" i="13"/>
  <c r="J87" i="13"/>
  <c r="K87" i="13"/>
  <c r="M87" i="13"/>
  <c r="N87" i="13"/>
  <c r="O87" i="13"/>
  <c r="S87" i="13"/>
  <c r="T87" i="13"/>
  <c r="U87" i="13"/>
  <c r="V87" i="13"/>
  <c r="E87" i="13"/>
  <c r="F46" i="13"/>
  <c r="G46" i="13"/>
  <c r="I46" i="13"/>
  <c r="J46" i="13"/>
  <c r="K46" i="13"/>
  <c r="M46" i="13"/>
  <c r="N46" i="13"/>
  <c r="O46" i="13"/>
  <c r="S46" i="13"/>
  <c r="T46" i="13"/>
  <c r="U46" i="13"/>
  <c r="V46" i="13"/>
  <c r="E46" i="13"/>
  <c r="L106" i="14" l="1"/>
  <c r="L92" i="14"/>
  <c r="L100" i="14"/>
  <c r="D46" i="13"/>
  <c r="D87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E38" i="13" l="1"/>
  <c r="E78" i="13"/>
  <c r="E120" i="13"/>
  <c r="E79" i="13"/>
  <c r="F120" i="13"/>
  <c r="F79" i="13"/>
  <c r="F38" i="13"/>
  <c r="F52" i="13"/>
  <c r="F39" i="13"/>
  <c r="F121" i="13"/>
  <c r="F119" i="13"/>
  <c r="F118" i="13"/>
  <c r="F93" i="13"/>
  <c r="F80" i="13"/>
  <c r="F78" i="13"/>
  <c r="F77" i="13"/>
  <c r="F37" i="13"/>
  <c r="F36" i="13"/>
  <c r="F11" i="13"/>
  <c r="F122" i="13"/>
  <c r="F81" i="13"/>
  <c r="S120" i="13"/>
  <c r="S79" i="13"/>
  <c r="S122" i="13"/>
  <c r="S52" i="13"/>
  <c r="S121" i="13"/>
  <c r="S118" i="13"/>
  <c r="S80" i="13"/>
  <c r="S77" i="13"/>
  <c r="S36" i="13"/>
  <c r="S38" i="13"/>
  <c r="S81" i="13"/>
  <c r="S39" i="13"/>
  <c r="S119" i="13"/>
  <c r="S93" i="13"/>
  <c r="S78" i="13"/>
  <c r="S37" i="13"/>
  <c r="S11" i="13"/>
  <c r="I38" i="13"/>
  <c r="I120" i="13"/>
  <c r="I79" i="13"/>
  <c r="I52" i="13"/>
  <c r="I39" i="13"/>
  <c r="I122" i="13"/>
  <c r="I81" i="13"/>
  <c r="I121" i="13"/>
  <c r="I119" i="13"/>
  <c r="I118" i="13"/>
  <c r="I93" i="13"/>
  <c r="I80" i="13"/>
  <c r="I78" i="13"/>
  <c r="I77" i="13"/>
  <c r="I37" i="13"/>
  <c r="I11" i="13"/>
  <c r="I36" i="13"/>
  <c r="G120" i="13"/>
  <c r="G79" i="13"/>
  <c r="G122" i="13"/>
  <c r="G81" i="13"/>
  <c r="G119" i="13"/>
  <c r="G93" i="13"/>
  <c r="G78" i="13"/>
  <c r="G39" i="13"/>
  <c r="G37" i="13"/>
  <c r="G11" i="13"/>
  <c r="G38" i="13"/>
  <c r="G121" i="13"/>
  <c r="G118" i="13"/>
  <c r="G80" i="13"/>
  <c r="G77" i="13"/>
  <c r="G52" i="13"/>
  <c r="G36" i="13"/>
  <c r="K38" i="13"/>
  <c r="K120" i="13"/>
  <c r="K79" i="13"/>
  <c r="K81" i="13"/>
  <c r="K52" i="13"/>
  <c r="K39" i="13"/>
  <c r="K122" i="13"/>
  <c r="K121" i="13"/>
  <c r="K119" i="13"/>
  <c r="K118" i="13"/>
  <c r="K93" i="13"/>
  <c r="K80" i="13"/>
  <c r="K78" i="13"/>
  <c r="K77" i="13"/>
  <c r="K37" i="13"/>
  <c r="K36" i="13"/>
  <c r="K11" i="13"/>
  <c r="O120" i="13"/>
  <c r="O79" i="13"/>
  <c r="O122" i="13"/>
  <c r="O81" i="13"/>
  <c r="O119" i="13"/>
  <c r="O93" i="13"/>
  <c r="O78" i="13"/>
  <c r="O39" i="13"/>
  <c r="O37" i="13"/>
  <c r="O11" i="13"/>
  <c r="O38" i="13"/>
  <c r="O121" i="13"/>
  <c r="O118" i="13"/>
  <c r="O80" i="13"/>
  <c r="O77" i="13"/>
  <c r="O52" i="13"/>
  <c r="O36" i="13"/>
  <c r="E81" i="13"/>
  <c r="E52" i="13"/>
  <c r="E39" i="13"/>
  <c r="E121" i="13"/>
  <c r="E119" i="13"/>
  <c r="E118" i="13"/>
  <c r="E93" i="13"/>
  <c r="E80" i="13"/>
  <c r="E77" i="13"/>
  <c r="E122" i="13"/>
  <c r="E15" i="13"/>
  <c r="E37" i="13"/>
  <c r="E36" i="13"/>
  <c r="E11" i="13"/>
  <c r="V121" i="13"/>
  <c r="V118" i="13"/>
  <c r="V80" i="13"/>
  <c r="V77" i="13"/>
  <c r="V52" i="13"/>
  <c r="V37" i="13"/>
  <c r="V11" i="13"/>
  <c r="V119" i="13"/>
  <c r="V93" i="13"/>
  <c r="V78" i="13"/>
  <c r="V39" i="13"/>
  <c r="V36" i="13"/>
  <c r="M3" i="17"/>
  <c r="D79" i="13" l="1"/>
  <c r="D120" i="13"/>
  <c r="D78" i="13"/>
  <c r="D122" i="13"/>
  <c r="D38" i="13"/>
  <c r="D81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21" i="13"/>
  <c r="D36" i="13"/>
  <c r="D118" i="13"/>
  <c r="D93" i="13"/>
  <c r="D52" i="13"/>
  <c r="D37" i="13"/>
  <c r="D77" i="13"/>
  <c r="D119" i="13"/>
  <c r="D39" i="13"/>
  <c r="D11" i="13"/>
  <c r="D80" i="13"/>
  <c r="H30" i="14" l="1"/>
  <c r="H39" i="14"/>
  <c r="H42" i="14"/>
  <c r="H5" i="14"/>
  <c r="H15" i="14"/>
  <c r="H53" i="14"/>
  <c r="H59" i="14"/>
  <c r="H72" i="14"/>
  <c r="H9" i="14"/>
  <c r="H19" i="14"/>
  <c r="H63" i="14"/>
  <c r="H58" i="14" s="1"/>
  <c r="H80" i="14"/>
  <c r="H71" i="14" s="1"/>
  <c r="H50" i="13" s="1"/>
  <c r="H51" i="13" s="1"/>
  <c r="H33" i="14"/>
  <c r="H23" i="14"/>
  <c r="H91" i="14"/>
  <c r="H91" i="13" s="1"/>
  <c r="H92" i="13" s="1"/>
  <c r="V114" i="13"/>
  <c r="V110" i="13"/>
  <c r="V105" i="13"/>
  <c r="V101" i="13"/>
  <c r="V97" i="13"/>
  <c r="V76" i="13"/>
  <c r="V71" i="13"/>
  <c r="V66" i="13"/>
  <c r="V62" i="13"/>
  <c r="V58" i="13"/>
  <c r="V54" i="13"/>
  <c r="V33" i="13"/>
  <c r="V29" i="13"/>
  <c r="V24" i="13"/>
  <c r="V20" i="13"/>
  <c r="V16" i="13"/>
  <c r="V12" i="13"/>
  <c r="V113" i="13"/>
  <c r="V108" i="13"/>
  <c r="V104" i="13"/>
  <c r="V100" i="13"/>
  <c r="V96" i="13"/>
  <c r="V74" i="13"/>
  <c r="V70" i="13"/>
  <c r="V65" i="13"/>
  <c r="V61" i="13"/>
  <c r="V57" i="13"/>
  <c r="V53" i="13"/>
  <c r="V32" i="13"/>
  <c r="V28" i="13"/>
  <c r="V23" i="13"/>
  <c r="V19" i="13"/>
  <c r="V15" i="13"/>
  <c r="V111" i="13"/>
  <c r="V102" i="13"/>
  <c r="V98" i="13"/>
  <c r="V72" i="13"/>
  <c r="V63" i="13"/>
  <c r="V55" i="13"/>
  <c r="V30" i="13"/>
  <c r="V21" i="13"/>
  <c r="V13" i="13"/>
  <c r="V117" i="13"/>
  <c r="V112" i="13"/>
  <c r="V107" i="13"/>
  <c r="V103" i="13"/>
  <c r="V99" i="13"/>
  <c r="V95" i="13"/>
  <c r="V73" i="13"/>
  <c r="V69" i="13"/>
  <c r="V64" i="13"/>
  <c r="V60" i="13"/>
  <c r="V56" i="13"/>
  <c r="V40" i="13"/>
  <c r="V31" i="13"/>
  <c r="V26" i="13"/>
  <c r="V22" i="13"/>
  <c r="V18" i="13"/>
  <c r="V14" i="13"/>
  <c r="V115" i="13"/>
  <c r="V106" i="13"/>
  <c r="V94" i="13"/>
  <c r="V67" i="13"/>
  <c r="V59" i="13"/>
  <c r="V35" i="13"/>
  <c r="V25" i="13"/>
  <c r="V17" i="13"/>
  <c r="T117" i="13"/>
  <c r="O117" i="13"/>
  <c r="M117" i="13"/>
  <c r="J117" i="13"/>
  <c r="G117" i="13"/>
  <c r="E117" i="13"/>
  <c r="E123" i="13" s="1"/>
  <c r="U115" i="13"/>
  <c r="S115" i="13"/>
  <c r="N115" i="13"/>
  <c r="K115" i="13"/>
  <c r="I115" i="13"/>
  <c r="F115" i="13"/>
  <c r="T114" i="13"/>
  <c r="O114" i="13"/>
  <c r="M114" i="13"/>
  <c r="J114" i="13"/>
  <c r="G114" i="13"/>
  <c r="E114" i="13"/>
  <c r="U113" i="13"/>
  <c r="S113" i="13"/>
  <c r="N113" i="13"/>
  <c r="K113" i="13"/>
  <c r="I113" i="13"/>
  <c r="F113" i="13"/>
  <c r="T112" i="13"/>
  <c r="O112" i="13"/>
  <c r="M112" i="13"/>
  <c r="J112" i="13"/>
  <c r="G112" i="13"/>
  <c r="E112" i="13"/>
  <c r="U111" i="13"/>
  <c r="S111" i="13"/>
  <c r="N111" i="13"/>
  <c r="K111" i="13"/>
  <c r="I111" i="13"/>
  <c r="F111" i="13"/>
  <c r="T110" i="13"/>
  <c r="O110" i="13"/>
  <c r="M110" i="13"/>
  <c r="J110" i="13"/>
  <c r="G110" i="13"/>
  <c r="E110" i="13"/>
  <c r="U108" i="13"/>
  <c r="S108" i="13"/>
  <c r="N108" i="13"/>
  <c r="K108" i="13"/>
  <c r="I108" i="13"/>
  <c r="F108" i="13"/>
  <c r="T107" i="13"/>
  <c r="O107" i="13"/>
  <c r="M107" i="13"/>
  <c r="J107" i="13"/>
  <c r="G107" i="13"/>
  <c r="E107" i="13"/>
  <c r="U106" i="13"/>
  <c r="S106" i="13"/>
  <c r="N106" i="13"/>
  <c r="K106" i="13"/>
  <c r="I106" i="13"/>
  <c r="F106" i="13"/>
  <c r="T105" i="13"/>
  <c r="O105" i="13"/>
  <c r="M105" i="13"/>
  <c r="J105" i="13"/>
  <c r="G105" i="13"/>
  <c r="E105" i="13"/>
  <c r="U104" i="13"/>
  <c r="S104" i="13"/>
  <c r="N104" i="13"/>
  <c r="K104" i="13"/>
  <c r="I104" i="13"/>
  <c r="F104" i="13"/>
  <c r="U117" i="13"/>
  <c r="N117" i="13"/>
  <c r="I117" i="13"/>
  <c r="O115" i="13"/>
  <c r="J115" i="13"/>
  <c r="E115" i="13"/>
  <c r="S114" i="13"/>
  <c r="K114" i="13"/>
  <c r="F114" i="13"/>
  <c r="T113" i="13"/>
  <c r="M113" i="13"/>
  <c r="G113" i="13"/>
  <c r="U112" i="13"/>
  <c r="N112" i="13"/>
  <c r="I112" i="13"/>
  <c r="O111" i="13"/>
  <c r="J111" i="13"/>
  <c r="E111" i="13"/>
  <c r="S110" i="13"/>
  <c r="K110" i="13"/>
  <c r="F110" i="13"/>
  <c r="T108" i="13"/>
  <c r="M108" i="13"/>
  <c r="G108" i="13"/>
  <c r="U107" i="13"/>
  <c r="N107" i="13"/>
  <c r="I107" i="13"/>
  <c r="O106" i="13"/>
  <c r="J106" i="13"/>
  <c r="E106" i="13"/>
  <c r="S105" i="13"/>
  <c r="K105" i="13"/>
  <c r="F105" i="13"/>
  <c r="T104" i="13"/>
  <c r="M104" i="13"/>
  <c r="G104" i="13"/>
  <c r="U103" i="13"/>
  <c r="S103" i="13"/>
  <c r="N103" i="13"/>
  <c r="K103" i="13"/>
  <c r="I103" i="13"/>
  <c r="F103" i="13"/>
  <c r="T102" i="13"/>
  <c r="O102" i="13"/>
  <c r="M102" i="13"/>
  <c r="J102" i="13"/>
  <c r="G102" i="13"/>
  <c r="E102" i="13"/>
  <c r="U101" i="13"/>
  <c r="S101" i="13"/>
  <c r="N101" i="13"/>
  <c r="K101" i="13"/>
  <c r="I101" i="13"/>
  <c r="F101" i="13"/>
  <c r="T100" i="13"/>
  <c r="O100" i="13"/>
  <c r="M100" i="13"/>
  <c r="J100" i="13"/>
  <c r="G100" i="13"/>
  <c r="E100" i="13"/>
  <c r="U99" i="13"/>
  <c r="S99" i="13"/>
  <c r="N99" i="13"/>
  <c r="K99" i="13"/>
  <c r="I99" i="13"/>
  <c r="F99" i="13"/>
  <c r="T98" i="13"/>
  <c r="O98" i="13"/>
  <c r="M98" i="13"/>
  <c r="J98" i="13"/>
  <c r="G98" i="13"/>
  <c r="E98" i="13"/>
  <c r="U97" i="13"/>
  <c r="S97" i="13"/>
  <c r="N97" i="13"/>
  <c r="K97" i="13"/>
  <c r="I97" i="13"/>
  <c r="F97" i="13"/>
  <c r="T96" i="13"/>
  <c r="O96" i="13"/>
  <c r="M96" i="13"/>
  <c r="J96" i="13"/>
  <c r="G96" i="13"/>
  <c r="E96" i="13"/>
  <c r="U95" i="13"/>
  <c r="S95" i="13"/>
  <c r="N95" i="13"/>
  <c r="K95" i="13"/>
  <c r="I95" i="13"/>
  <c r="F95" i="13"/>
  <c r="T94" i="13"/>
  <c r="O94" i="13"/>
  <c r="M94" i="13"/>
  <c r="J94" i="13"/>
  <c r="G94" i="13"/>
  <c r="E94" i="13"/>
  <c r="S117" i="13"/>
  <c r="K117" i="13"/>
  <c r="K123" i="13" s="1"/>
  <c r="F117" i="13"/>
  <c r="T115" i="13"/>
  <c r="M115" i="13"/>
  <c r="G115" i="13"/>
  <c r="U114" i="13"/>
  <c r="N114" i="13"/>
  <c r="I114" i="13"/>
  <c r="O113" i="13"/>
  <c r="J113" i="13"/>
  <c r="E113" i="13"/>
  <c r="S112" i="13"/>
  <c r="K112" i="13"/>
  <c r="F112" i="13"/>
  <c r="T111" i="13"/>
  <c r="M111" i="13"/>
  <c r="G111" i="13"/>
  <c r="U110" i="13"/>
  <c r="N110" i="13"/>
  <c r="I110" i="13"/>
  <c r="O108" i="13"/>
  <c r="J108" i="13"/>
  <c r="E108" i="13"/>
  <c r="S107" i="13"/>
  <c r="K107" i="13"/>
  <c r="F107" i="13"/>
  <c r="T106" i="13"/>
  <c r="M106" i="13"/>
  <c r="G106" i="13"/>
  <c r="U105" i="13"/>
  <c r="N105" i="13"/>
  <c r="I105" i="13"/>
  <c r="O104" i="13"/>
  <c r="J104" i="13"/>
  <c r="E104" i="13"/>
  <c r="T103" i="13"/>
  <c r="O103" i="13"/>
  <c r="M103" i="13"/>
  <c r="J103" i="13"/>
  <c r="G103" i="13"/>
  <c r="E103" i="13"/>
  <c r="U102" i="13"/>
  <c r="S102" i="13"/>
  <c r="N102" i="13"/>
  <c r="K102" i="13"/>
  <c r="I102" i="13"/>
  <c r="F102" i="13"/>
  <c r="T101" i="13"/>
  <c r="O101" i="13"/>
  <c r="M101" i="13"/>
  <c r="J101" i="13"/>
  <c r="G101" i="13"/>
  <c r="E101" i="13"/>
  <c r="U100" i="13"/>
  <c r="S100" i="13"/>
  <c r="N100" i="13"/>
  <c r="I100" i="13"/>
  <c r="O99" i="13"/>
  <c r="J99" i="13"/>
  <c r="E99" i="13"/>
  <c r="S98" i="13"/>
  <c r="K98" i="13"/>
  <c r="F98" i="13"/>
  <c r="T97" i="13"/>
  <c r="M97" i="13"/>
  <c r="G97" i="13"/>
  <c r="U96" i="13"/>
  <c r="N96" i="13"/>
  <c r="I96" i="13"/>
  <c r="O95" i="13"/>
  <c r="J95" i="13"/>
  <c r="E95" i="13"/>
  <c r="S94" i="13"/>
  <c r="K94" i="13"/>
  <c r="F94" i="13"/>
  <c r="K100" i="13"/>
  <c r="F100" i="13"/>
  <c r="T99" i="13"/>
  <c r="M99" i="13"/>
  <c r="G99" i="13"/>
  <c r="U98" i="13"/>
  <c r="N98" i="13"/>
  <c r="I98" i="13"/>
  <c r="O97" i="13"/>
  <c r="J97" i="13"/>
  <c r="E97" i="13"/>
  <c r="S96" i="13"/>
  <c r="K96" i="13"/>
  <c r="F96" i="13"/>
  <c r="T95" i="13"/>
  <c r="M95" i="13"/>
  <c r="G95" i="13"/>
  <c r="U94" i="13"/>
  <c r="N94" i="13"/>
  <c r="I94" i="13"/>
  <c r="O76" i="13"/>
  <c r="O82" i="13" s="1"/>
  <c r="J76" i="13"/>
  <c r="J82" i="13" s="1"/>
  <c r="E76" i="13"/>
  <c r="E82" i="13" s="1"/>
  <c r="S74" i="13"/>
  <c r="K74" i="13"/>
  <c r="F74" i="13"/>
  <c r="T73" i="13"/>
  <c r="M73" i="13"/>
  <c r="G73" i="13"/>
  <c r="U72" i="13"/>
  <c r="N72" i="13"/>
  <c r="I72" i="13"/>
  <c r="O71" i="13"/>
  <c r="J71" i="13"/>
  <c r="E71" i="13"/>
  <c r="S70" i="13"/>
  <c r="K70" i="13"/>
  <c r="F70" i="13"/>
  <c r="T69" i="13"/>
  <c r="M69" i="13"/>
  <c r="G69" i="13"/>
  <c r="U67" i="13"/>
  <c r="N67" i="13"/>
  <c r="I67" i="13"/>
  <c r="O66" i="13"/>
  <c r="J66" i="13"/>
  <c r="E66" i="13"/>
  <c r="S65" i="13"/>
  <c r="K65" i="13"/>
  <c r="F65" i="13"/>
  <c r="T64" i="13"/>
  <c r="M64" i="13"/>
  <c r="G64" i="13"/>
  <c r="U63" i="13"/>
  <c r="N63" i="13"/>
  <c r="I63" i="13"/>
  <c r="O62" i="13"/>
  <c r="J62" i="13"/>
  <c r="E62" i="13"/>
  <c r="N76" i="13"/>
  <c r="J74" i="13"/>
  <c r="S73" i="13"/>
  <c r="F73" i="13"/>
  <c r="M72" i="13"/>
  <c r="U71" i="13"/>
  <c r="I71" i="13"/>
  <c r="O70" i="13"/>
  <c r="E70" i="13"/>
  <c r="K69" i="13"/>
  <c r="T67" i="13"/>
  <c r="G67" i="13"/>
  <c r="N66" i="13"/>
  <c r="J65" i="13"/>
  <c r="S64" i="13"/>
  <c r="F64" i="13"/>
  <c r="M63" i="13"/>
  <c r="U62" i="13"/>
  <c r="I62" i="13"/>
  <c r="T61" i="13"/>
  <c r="M61" i="13"/>
  <c r="G61" i="13"/>
  <c r="U60" i="13"/>
  <c r="N60" i="13"/>
  <c r="I60" i="13"/>
  <c r="O59" i="13"/>
  <c r="J59" i="13"/>
  <c r="E59" i="13"/>
  <c r="S58" i="13"/>
  <c r="K58" i="13"/>
  <c r="F58" i="13"/>
  <c r="T57" i="13"/>
  <c r="M57" i="13"/>
  <c r="G57" i="13"/>
  <c r="U56" i="13"/>
  <c r="N56" i="13"/>
  <c r="I56" i="13"/>
  <c r="O55" i="13"/>
  <c r="T76" i="13"/>
  <c r="G76" i="13"/>
  <c r="N74" i="13"/>
  <c r="J73" i="13"/>
  <c r="S72" i="13"/>
  <c r="F72" i="13"/>
  <c r="M71" i="13"/>
  <c r="U70" i="13"/>
  <c r="I70" i="13"/>
  <c r="O69" i="13"/>
  <c r="E69" i="13"/>
  <c r="K67" i="13"/>
  <c r="T66" i="13"/>
  <c r="G66" i="13"/>
  <c r="N65" i="13"/>
  <c r="J64" i="13"/>
  <c r="S63" i="13"/>
  <c r="F63" i="13"/>
  <c r="M62" i="13"/>
  <c r="U76" i="13"/>
  <c r="O74" i="13"/>
  <c r="K73" i="13"/>
  <c r="G72" i="13"/>
  <c r="S69" i="13"/>
  <c r="M67" i="13"/>
  <c r="I66" i="13"/>
  <c r="E65" i="13"/>
  <c r="T63" i="13"/>
  <c r="N62" i="13"/>
  <c r="O61" i="13"/>
  <c r="E61" i="13"/>
  <c r="K60" i="13"/>
  <c r="T59" i="13"/>
  <c r="G59" i="13"/>
  <c r="N58" i="13"/>
  <c r="J57" i="13"/>
  <c r="S56" i="13"/>
  <c r="F56" i="13"/>
  <c r="M55" i="13"/>
  <c r="G55" i="13"/>
  <c r="U54" i="13"/>
  <c r="N54" i="13"/>
  <c r="I54" i="13"/>
  <c r="O53" i="13"/>
  <c r="J53" i="13"/>
  <c r="E53" i="13"/>
  <c r="K76" i="13"/>
  <c r="T74" i="13"/>
  <c r="G74" i="13"/>
  <c r="N73" i="13"/>
  <c r="J72" i="13"/>
  <c r="S71" i="13"/>
  <c r="F71" i="13"/>
  <c r="M70" i="13"/>
  <c r="U69" i="13"/>
  <c r="I69" i="13"/>
  <c r="O67" i="13"/>
  <c r="E67" i="13"/>
  <c r="K66" i="13"/>
  <c r="T65" i="13"/>
  <c r="G65" i="13"/>
  <c r="N64" i="13"/>
  <c r="J63" i="13"/>
  <c r="S62" i="13"/>
  <c r="F62" i="13"/>
  <c r="S61" i="13"/>
  <c r="K61" i="13"/>
  <c r="F61" i="13"/>
  <c r="T60" i="13"/>
  <c r="M60" i="13"/>
  <c r="G60" i="13"/>
  <c r="U59" i="13"/>
  <c r="N59" i="13"/>
  <c r="I59" i="13"/>
  <c r="O58" i="13"/>
  <c r="J58" i="13"/>
  <c r="E58" i="13"/>
  <c r="N57" i="13"/>
  <c r="J56" i="13"/>
  <c r="S55" i="13"/>
  <c r="F55" i="13"/>
  <c r="M54" i="13"/>
  <c r="U53" i="13"/>
  <c r="I53" i="13"/>
  <c r="K57" i="13"/>
  <c r="T56" i="13"/>
  <c r="G56" i="13"/>
  <c r="N55" i="13"/>
  <c r="J54" i="13"/>
  <c r="S53" i="13"/>
  <c r="F53" i="13"/>
  <c r="M76" i="13"/>
  <c r="U74" i="13"/>
  <c r="I74" i="13"/>
  <c r="O73" i="13"/>
  <c r="E73" i="13"/>
  <c r="K72" i="13"/>
  <c r="T71" i="13"/>
  <c r="G71" i="13"/>
  <c r="N70" i="13"/>
  <c r="J69" i="13"/>
  <c r="S67" i="13"/>
  <c r="F67" i="13"/>
  <c r="M66" i="13"/>
  <c r="U65" i="13"/>
  <c r="I65" i="13"/>
  <c r="O64" i="13"/>
  <c r="E64" i="13"/>
  <c r="K63" i="13"/>
  <c r="T62" i="13"/>
  <c r="G62" i="13"/>
  <c r="I76" i="13"/>
  <c r="E74" i="13"/>
  <c r="T72" i="13"/>
  <c r="N71" i="13"/>
  <c r="J70" i="13"/>
  <c r="F69" i="13"/>
  <c r="U66" i="13"/>
  <c r="O65" i="13"/>
  <c r="K64" i="13"/>
  <c r="G63" i="13"/>
  <c r="J61" i="13"/>
  <c r="S60" i="13"/>
  <c r="F60" i="13"/>
  <c r="M59" i="13"/>
  <c r="U58" i="13"/>
  <c r="I58" i="13"/>
  <c r="O57" i="13"/>
  <c r="E57" i="13"/>
  <c r="K56" i="13"/>
  <c r="T55" i="13"/>
  <c r="J55" i="13"/>
  <c r="E55" i="13"/>
  <c r="S54" i="13"/>
  <c r="K54" i="13"/>
  <c r="F54" i="13"/>
  <c r="T53" i="13"/>
  <c r="M53" i="13"/>
  <c r="G53" i="13"/>
  <c r="S76" i="13"/>
  <c r="F76" i="13"/>
  <c r="F82" i="13" s="1"/>
  <c r="M74" i="13"/>
  <c r="U73" i="13"/>
  <c r="I73" i="13"/>
  <c r="O72" i="13"/>
  <c r="E72" i="13"/>
  <c r="K71" i="13"/>
  <c r="T70" i="13"/>
  <c r="G70" i="13"/>
  <c r="N69" i="13"/>
  <c r="J67" i="13"/>
  <c r="S66" i="13"/>
  <c r="F66" i="13"/>
  <c r="M65" i="13"/>
  <c r="U64" i="13"/>
  <c r="I64" i="13"/>
  <c r="O63" i="13"/>
  <c r="E63" i="13"/>
  <c r="U61" i="13"/>
  <c r="I61" i="13"/>
  <c r="O60" i="13"/>
  <c r="E60" i="13"/>
  <c r="K59" i="13"/>
  <c r="T58" i="13"/>
  <c r="G58" i="13"/>
  <c r="I57" i="13"/>
  <c r="E56" i="13"/>
  <c r="T54" i="13"/>
  <c r="N53" i="13"/>
  <c r="F57" i="13"/>
  <c r="U55" i="13"/>
  <c r="O54" i="13"/>
  <c r="K53" i="13"/>
  <c r="K62" i="13"/>
  <c r="N61" i="13"/>
  <c r="J60" i="13"/>
  <c r="S59" i="13"/>
  <c r="F59" i="13"/>
  <c r="M58" i="13"/>
  <c r="U57" i="13"/>
  <c r="O56" i="13"/>
  <c r="K55" i="13"/>
  <c r="G54" i="13"/>
  <c r="S57" i="13"/>
  <c r="M56" i="13"/>
  <c r="I55" i="13"/>
  <c r="E54" i="13"/>
  <c r="U40" i="13"/>
  <c r="S40" i="13"/>
  <c r="N40" i="13"/>
  <c r="K40" i="13"/>
  <c r="I40" i="13"/>
  <c r="F40" i="13"/>
  <c r="T35" i="13"/>
  <c r="O35" i="13"/>
  <c r="M35" i="13"/>
  <c r="J35" i="13"/>
  <c r="G35" i="13"/>
  <c r="E35" i="13"/>
  <c r="U33" i="13"/>
  <c r="S33" i="13"/>
  <c r="N33" i="13"/>
  <c r="K33" i="13"/>
  <c r="I33" i="13"/>
  <c r="F33" i="13"/>
  <c r="T32" i="13"/>
  <c r="O32" i="13"/>
  <c r="M32" i="13"/>
  <c r="J32" i="13"/>
  <c r="G32" i="13"/>
  <c r="E32" i="13"/>
  <c r="U31" i="13"/>
  <c r="S31" i="13"/>
  <c r="N31" i="13"/>
  <c r="K31" i="13"/>
  <c r="I31" i="13"/>
  <c r="F31" i="13"/>
  <c r="T30" i="13"/>
  <c r="O30" i="13"/>
  <c r="M30" i="13"/>
  <c r="J30" i="13"/>
  <c r="G30" i="13"/>
  <c r="E30" i="13"/>
  <c r="U29" i="13"/>
  <c r="S29" i="13"/>
  <c r="N29" i="13"/>
  <c r="K29" i="13"/>
  <c r="I29" i="13"/>
  <c r="F29" i="13"/>
  <c r="T28" i="13"/>
  <c r="O28" i="13"/>
  <c r="M28" i="13"/>
  <c r="J28" i="13"/>
  <c r="G28" i="13"/>
  <c r="E28" i="13"/>
  <c r="U26" i="13"/>
  <c r="S26" i="13"/>
  <c r="N26" i="13"/>
  <c r="K26" i="13"/>
  <c r="I26" i="13"/>
  <c r="F26" i="13"/>
  <c r="T25" i="13"/>
  <c r="O25" i="13"/>
  <c r="M25" i="13"/>
  <c r="J25" i="13"/>
  <c r="G25" i="13"/>
  <c r="E25" i="13"/>
  <c r="U24" i="13"/>
  <c r="S24" i="13"/>
  <c r="N24" i="13"/>
  <c r="K24" i="13"/>
  <c r="I24" i="13"/>
  <c r="F24" i="13"/>
  <c r="T23" i="13"/>
  <c r="O23" i="13"/>
  <c r="M23" i="13"/>
  <c r="J23" i="13"/>
  <c r="G23" i="13"/>
  <c r="E23" i="13"/>
  <c r="U22" i="13"/>
  <c r="S22" i="13"/>
  <c r="N22" i="13"/>
  <c r="K22" i="13"/>
  <c r="I22" i="13"/>
  <c r="F22" i="13"/>
  <c r="O40" i="13"/>
  <c r="J40" i="13"/>
  <c r="E40" i="13"/>
  <c r="S35" i="13"/>
  <c r="K35" i="13"/>
  <c r="F35" i="13"/>
  <c r="T33" i="13"/>
  <c r="M33" i="13"/>
  <c r="G33" i="13"/>
  <c r="U32" i="13"/>
  <c r="N32" i="13"/>
  <c r="I32" i="13"/>
  <c r="O31" i="13"/>
  <c r="J31" i="13"/>
  <c r="E31" i="13"/>
  <c r="S30" i="13"/>
  <c r="K30" i="13"/>
  <c r="F30" i="13"/>
  <c r="T29" i="13"/>
  <c r="M29" i="13"/>
  <c r="G29" i="13"/>
  <c r="U28" i="13"/>
  <c r="N28" i="13"/>
  <c r="I28" i="13"/>
  <c r="O26" i="13"/>
  <c r="J26" i="13"/>
  <c r="E26" i="13"/>
  <c r="S25" i="13"/>
  <c r="K25" i="13"/>
  <c r="F25" i="13"/>
  <c r="T24" i="13"/>
  <c r="M24" i="13"/>
  <c r="G24" i="13"/>
  <c r="U23" i="13"/>
  <c r="N23" i="13"/>
  <c r="I23" i="13"/>
  <c r="O22" i="13"/>
  <c r="J22" i="13"/>
  <c r="E22" i="13"/>
  <c r="T21" i="13"/>
  <c r="O21" i="13"/>
  <c r="M21" i="13"/>
  <c r="J21" i="13"/>
  <c r="G21" i="13"/>
  <c r="E21" i="13"/>
  <c r="U20" i="13"/>
  <c r="S20" i="13"/>
  <c r="N20" i="13"/>
  <c r="K20" i="13"/>
  <c r="I20" i="13"/>
  <c r="F20" i="13"/>
  <c r="T19" i="13"/>
  <c r="O19" i="13"/>
  <c r="M19" i="13"/>
  <c r="J19" i="13"/>
  <c r="G19" i="13"/>
  <c r="E19" i="13"/>
  <c r="U18" i="13"/>
  <c r="S18" i="13"/>
  <c r="N18" i="13"/>
  <c r="K18" i="13"/>
  <c r="I18" i="13"/>
  <c r="F18" i="13"/>
  <c r="O17" i="13"/>
  <c r="M17" i="13"/>
  <c r="J17" i="13"/>
  <c r="G17" i="13"/>
  <c r="E17" i="13"/>
  <c r="U16" i="13"/>
  <c r="S16" i="13"/>
  <c r="N16" i="13"/>
  <c r="K16" i="13"/>
  <c r="I16" i="13"/>
  <c r="F16" i="13"/>
  <c r="T15" i="13"/>
  <c r="O15" i="13"/>
  <c r="M15" i="13"/>
  <c r="M40" i="13"/>
  <c r="U35" i="13"/>
  <c r="I35" i="13"/>
  <c r="O33" i="13"/>
  <c r="E33" i="13"/>
  <c r="K32" i="13"/>
  <c r="T31" i="13"/>
  <c r="G31" i="13"/>
  <c r="N30" i="13"/>
  <c r="J29" i="13"/>
  <c r="S28" i="13"/>
  <c r="F28" i="13"/>
  <c r="M26" i="13"/>
  <c r="U25" i="13"/>
  <c r="I25" i="13"/>
  <c r="O24" i="13"/>
  <c r="E24" i="13"/>
  <c r="K23" i="13"/>
  <c r="T22" i="13"/>
  <c r="G22" i="13"/>
  <c r="S21" i="13"/>
  <c r="K21" i="13"/>
  <c r="F21" i="13"/>
  <c r="T20" i="13"/>
  <c r="M20" i="13"/>
  <c r="G20" i="13"/>
  <c r="U19" i="13"/>
  <c r="N19" i="13"/>
  <c r="I19" i="13"/>
  <c r="O18" i="13"/>
  <c r="J18" i="13"/>
  <c r="E18" i="13"/>
  <c r="S17" i="13"/>
  <c r="K17" i="13"/>
  <c r="F17" i="13"/>
  <c r="T16" i="13"/>
  <c r="M16" i="13"/>
  <c r="G16" i="13"/>
  <c r="U15" i="13"/>
  <c r="N15" i="13"/>
  <c r="J15" i="13"/>
  <c r="G15" i="13"/>
  <c r="U14" i="13"/>
  <c r="S14" i="13"/>
  <c r="N14" i="13"/>
  <c r="K14" i="13"/>
  <c r="I14" i="13"/>
  <c r="F14" i="13"/>
  <c r="T13" i="13"/>
  <c r="O13" i="13"/>
  <c r="M13" i="13"/>
  <c r="J13" i="13"/>
  <c r="G13" i="13"/>
  <c r="E13" i="13"/>
  <c r="T40" i="13"/>
  <c r="G40" i="13"/>
  <c r="N35" i="13"/>
  <c r="J33" i="13"/>
  <c r="S32" i="13"/>
  <c r="F32" i="13"/>
  <c r="M31" i="13"/>
  <c r="U30" i="13"/>
  <c r="I30" i="13"/>
  <c r="O29" i="13"/>
  <c r="E29" i="13"/>
  <c r="K28" i="13"/>
  <c r="T26" i="13"/>
  <c r="G26" i="13"/>
  <c r="N25" i="13"/>
  <c r="J24" i="13"/>
  <c r="S23" i="13"/>
  <c r="F23" i="13"/>
  <c r="M22" i="13"/>
  <c r="U21" i="13"/>
  <c r="N21" i="13"/>
  <c r="I21" i="13"/>
  <c r="O20" i="13"/>
  <c r="J20" i="13"/>
  <c r="E20" i="13"/>
  <c r="S19" i="13"/>
  <c r="K19" i="13"/>
  <c r="F19" i="13"/>
  <c r="T18" i="13"/>
  <c r="M18" i="13"/>
  <c r="G18" i="13"/>
  <c r="U17" i="13"/>
  <c r="N17" i="13"/>
  <c r="I17" i="13"/>
  <c r="O16" i="13"/>
  <c r="J16" i="13"/>
  <c r="E16" i="13"/>
  <c r="S15" i="13"/>
  <c r="K15" i="13"/>
  <c r="I15" i="13"/>
  <c r="F15" i="13"/>
  <c r="T14" i="13"/>
  <c r="O14" i="13"/>
  <c r="M14" i="13"/>
  <c r="J14" i="13"/>
  <c r="G14" i="13"/>
  <c r="E14" i="13"/>
  <c r="U13" i="13"/>
  <c r="S13" i="13"/>
  <c r="N13" i="13"/>
  <c r="K13" i="13"/>
  <c r="I13" i="13"/>
  <c r="F13" i="13"/>
  <c r="E12" i="13"/>
  <c r="G12" i="13"/>
  <c r="J12" i="13"/>
  <c r="M12" i="13"/>
  <c r="O12" i="13"/>
  <c r="T12" i="13"/>
  <c r="F12" i="13"/>
  <c r="I12" i="13"/>
  <c r="K12" i="13"/>
  <c r="N12" i="13"/>
  <c r="S12" i="13"/>
  <c r="U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38" i="14" l="1"/>
  <c r="H4" i="14"/>
  <c r="E41" i="13"/>
  <c r="D40" i="13"/>
  <c r="I109" i="13"/>
  <c r="U109" i="13"/>
  <c r="U27" i="13"/>
  <c r="N27" i="13"/>
  <c r="I27" i="13"/>
  <c r="T27" i="13"/>
  <c r="M27" i="13"/>
  <c r="G27" i="13"/>
  <c r="D14" i="13"/>
  <c r="D16" i="13"/>
  <c r="D20" i="13"/>
  <c r="D29" i="13"/>
  <c r="K68" i="13"/>
  <c r="T68" i="13"/>
  <c r="N68" i="13"/>
  <c r="G68" i="13"/>
  <c r="F68" i="13"/>
  <c r="U68" i="13"/>
  <c r="J68" i="13"/>
  <c r="F109" i="13"/>
  <c r="S109" i="13"/>
  <c r="E109" i="13"/>
  <c r="J109" i="13"/>
  <c r="O109" i="13"/>
  <c r="M68" i="13"/>
  <c r="S68" i="13"/>
  <c r="I68" i="13"/>
  <c r="E68" i="13"/>
  <c r="O68" i="13"/>
  <c r="N109" i="13"/>
  <c r="K109" i="13"/>
  <c r="G109" i="13"/>
  <c r="M109" i="13"/>
  <c r="T109" i="13"/>
  <c r="V109" i="13"/>
  <c r="V68" i="13"/>
  <c r="J41" i="13"/>
  <c r="E75" i="13"/>
  <c r="V27" i="13"/>
  <c r="S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35" i="13"/>
  <c r="D94" i="13"/>
  <c r="D54" i="13"/>
  <c r="D57" i="13"/>
  <c r="D74" i="13"/>
  <c r="D101" i="13"/>
  <c r="D103" i="13"/>
  <c r="D104" i="13"/>
  <c r="D108" i="13"/>
  <c r="D113" i="13"/>
  <c r="D60" i="13"/>
  <c r="D63" i="13"/>
  <c r="D72" i="13"/>
  <c r="D64" i="13"/>
  <c r="D73" i="13"/>
  <c r="D67" i="13"/>
  <c r="D53" i="13"/>
  <c r="D59" i="13"/>
  <c r="D62" i="13"/>
  <c r="D66" i="13"/>
  <c r="D71" i="13"/>
  <c r="D76" i="13"/>
  <c r="D97" i="13"/>
  <c r="D95" i="13"/>
  <c r="D99" i="13"/>
  <c r="D56" i="13"/>
  <c r="D55" i="13"/>
  <c r="D58" i="13"/>
  <c r="D61" i="13"/>
  <c r="D65" i="13"/>
  <c r="D69" i="13"/>
  <c r="D70" i="13"/>
  <c r="D96" i="13"/>
  <c r="D98" i="13"/>
  <c r="D100" i="13"/>
  <c r="D102" i="13"/>
  <c r="D106" i="13"/>
  <c r="D111" i="13"/>
  <c r="D115" i="13"/>
  <c r="D105" i="13"/>
  <c r="D107" i="13"/>
  <c r="D110" i="13"/>
  <c r="D112" i="13"/>
  <c r="D114" i="13"/>
  <c r="D117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2" i="13"/>
  <c r="E6" i="13"/>
  <c r="F86" i="14"/>
  <c r="V86" i="14"/>
  <c r="O86" i="14"/>
  <c r="S86" i="14"/>
  <c r="U86" i="14"/>
  <c r="T86" i="14"/>
  <c r="M86" i="14"/>
  <c r="F59" i="14" l="1"/>
  <c r="S59" i="14"/>
  <c r="N59" i="14"/>
  <c r="U59" i="14"/>
  <c r="J59" i="14"/>
  <c r="M59" i="14"/>
  <c r="O59" i="14"/>
  <c r="T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I108" i="14" l="1"/>
  <c r="I107" i="14"/>
  <c r="I105" i="14"/>
  <c r="I104" i="14"/>
  <c r="I103" i="14"/>
  <c r="I102" i="14"/>
  <c r="I101" i="14"/>
  <c r="I99" i="14"/>
  <c r="I98" i="14"/>
  <c r="I97" i="14"/>
  <c r="I96" i="14"/>
  <c r="I95" i="14"/>
  <c r="I94" i="14"/>
  <c r="I93" i="14"/>
  <c r="I88" i="14"/>
  <c r="I87" i="14"/>
  <c r="I85" i="14"/>
  <c r="I84" i="14"/>
  <c r="I83" i="14"/>
  <c r="I82" i="14"/>
  <c r="I81" i="14"/>
  <c r="I79" i="14"/>
  <c r="I78" i="14"/>
  <c r="I77" i="14"/>
  <c r="I76" i="14"/>
  <c r="I75" i="14"/>
  <c r="I74" i="14"/>
  <c r="I73" i="14"/>
  <c r="I67" i="14"/>
  <c r="I65" i="14"/>
  <c r="I62" i="14"/>
  <c r="I60" i="14"/>
  <c r="I56" i="14"/>
  <c r="I54" i="14"/>
  <c r="I50" i="14"/>
  <c r="I47" i="14"/>
  <c r="I45" i="14"/>
  <c r="I43" i="14"/>
  <c r="I40" i="14"/>
  <c r="I36" i="14"/>
  <c r="I34" i="14"/>
  <c r="I31" i="14"/>
  <c r="I28" i="14"/>
  <c r="I26" i="14"/>
  <c r="I24" i="14"/>
  <c r="I21" i="14"/>
  <c r="I18" i="14"/>
  <c r="I16" i="14"/>
  <c r="I13" i="14"/>
  <c r="I11" i="14"/>
  <c r="I8" i="14"/>
  <c r="I6" i="14"/>
  <c r="I12" i="14"/>
  <c r="I68" i="14"/>
  <c r="I66" i="14"/>
  <c r="I64" i="14"/>
  <c r="I61" i="14"/>
  <c r="I57" i="14"/>
  <c r="I55" i="14"/>
  <c r="I52" i="14"/>
  <c r="I48" i="14"/>
  <c r="I46" i="14"/>
  <c r="I44" i="14"/>
  <c r="I41" i="14"/>
  <c r="I37" i="14"/>
  <c r="I35" i="14"/>
  <c r="I32" i="14"/>
  <c r="I29" i="14"/>
  <c r="I27" i="14"/>
  <c r="I25" i="14"/>
  <c r="I22" i="14"/>
  <c r="I20" i="14"/>
  <c r="I17" i="14"/>
  <c r="I14" i="14"/>
  <c r="I10" i="14"/>
  <c r="I7" i="14"/>
  <c r="G107" i="14"/>
  <c r="G104" i="14"/>
  <c r="G102" i="14"/>
  <c r="G99" i="14"/>
  <c r="G97" i="14"/>
  <c r="G95" i="14"/>
  <c r="G93" i="14"/>
  <c r="G87" i="14"/>
  <c r="G84" i="14"/>
  <c r="G82" i="14"/>
  <c r="G79" i="14"/>
  <c r="G77" i="14"/>
  <c r="G75" i="14"/>
  <c r="G73" i="14"/>
  <c r="G108" i="14"/>
  <c r="G105" i="14"/>
  <c r="G103" i="14"/>
  <c r="G101" i="14"/>
  <c r="G98" i="14"/>
  <c r="G96" i="14"/>
  <c r="G94" i="14"/>
  <c r="G88" i="14"/>
  <c r="G85" i="14"/>
  <c r="G83" i="14"/>
  <c r="G81" i="14"/>
  <c r="G78" i="14"/>
  <c r="G76" i="14"/>
  <c r="G74" i="14"/>
  <c r="G68" i="14"/>
  <c r="G67" i="14"/>
  <c r="G66" i="14"/>
  <c r="G65" i="14"/>
  <c r="G64" i="14"/>
  <c r="G62" i="14"/>
  <c r="G61" i="14"/>
  <c r="G60" i="14"/>
  <c r="G57" i="14"/>
  <c r="G56" i="14"/>
  <c r="G55" i="14"/>
  <c r="G54" i="14"/>
  <c r="G52" i="14"/>
  <c r="G50" i="14"/>
  <c r="G49" i="14" s="1"/>
  <c r="G48" i="14"/>
  <c r="G47" i="14"/>
  <c r="G46" i="14"/>
  <c r="G45" i="14"/>
  <c r="G44" i="14"/>
  <c r="G43" i="14"/>
  <c r="G41" i="14"/>
  <c r="G40" i="14"/>
  <c r="G37" i="14"/>
  <c r="G36" i="14"/>
  <c r="G35" i="14"/>
  <c r="G34" i="14"/>
  <c r="G32" i="14"/>
  <c r="G31" i="14"/>
  <c r="G29" i="14"/>
  <c r="G28" i="14"/>
  <c r="G27" i="14"/>
  <c r="G26" i="14"/>
  <c r="G25" i="14"/>
  <c r="G24" i="14"/>
  <c r="G22" i="14"/>
  <c r="G21" i="14"/>
  <c r="G20" i="14"/>
  <c r="G18" i="14"/>
  <c r="G17" i="14"/>
  <c r="G16" i="14"/>
  <c r="G14" i="14"/>
  <c r="G13" i="14"/>
  <c r="G12" i="14"/>
  <c r="G11" i="14"/>
  <c r="G10" i="14"/>
  <c r="G8" i="14"/>
  <c r="G7" i="14"/>
  <c r="G6" i="14"/>
  <c r="K108" i="14"/>
  <c r="K107" i="14"/>
  <c r="K105" i="14"/>
  <c r="K104" i="14"/>
  <c r="K103" i="14"/>
  <c r="K102" i="14"/>
  <c r="K101" i="14"/>
  <c r="K99" i="14"/>
  <c r="K98" i="14"/>
  <c r="K97" i="14"/>
  <c r="K96" i="14"/>
  <c r="K95" i="14"/>
  <c r="K94" i="14"/>
  <c r="K93" i="14"/>
  <c r="K88" i="14"/>
  <c r="K87" i="14"/>
  <c r="K85" i="14"/>
  <c r="K84" i="14"/>
  <c r="K83" i="14"/>
  <c r="K82" i="14"/>
  <c r="K81" i="14"/>
  <c r="K79" i="14"/>
  <c r="K78" i="14"/>
  <c r="K77" i="14"/>
  <c r="K76" i="14"/>
  <c r="K75" i="14"/>
  <c r="K74" i="14"/>
  <c r="K73" i="14"/>
  <c r="K68" i="14"/>
  <c r="K66" i="14"/>
  <c r="K64" i="14"/>
  <c r="K61" i="14"/>
  <c r="K57" i="14"/>
  <c r="K55" i="14"/>
  <c r="K52" i="14"/>
  <c r="K48" i="14"/>
  <c r="K46" i="14"/>
  <c r="K44" i="14"/>
  <c r="K41" i="14"/>
  <c r="K37" i="14"/>
  <c r="K35" i="14"/>
  <c r="K32" i="14"/>
  <c r="K29" i="14"/>
  <c r="K27" i="14"/>
  <c r="K25" i="14"/>
  <c r="K22" i="14"/>
  <c r="K20" i="14"/>
  <c r="K17" i="14"/>
  <c r="K14" i="14"/>
  <c r="K12" i="14"/>
  <c r="K10" i="14"/>
  <c r="K7" i="14"/>
  <c r="K13" i="14"/>
  <c r="K8" i="14"/>
  <c r="K67" i="14"/>
  <c r="K65" i="14"/>
  <c r="K62" i="14"/>
  <c r="K60" i="14"/>
  <c r="K56" i="14"/>
  <c r="K54" i="14"/>
  <c r="K50" i="14"/>
  <c r="K47" i="14"/>
  <c r="K45" i="14"/>
  <c r="K43" i="14"/>
  <c r="K40" i="14"/>
  <c r="K36" i="14"/>
  <c r="K34" i="14"/>
  <c r="K31" i="14"/>
  <c r="K28" i="14"/>
  <c r="K26" i="14"/>
  <c r="K24" i="14"/>
  <c r="K21" i="14"/>
  <c r="K18" i="14"/>
  <c r="K16" i="14"/>
  <c r="K11" i="14"/>
  <c r="K6" i="14"/>
  <c r="E108" i="14"/>
  <c r="E105" i="14"/>
  <c r="E103" i="14"/>
  <c r="E101" i="14"/>
  <c r="E98" i="14"/>
  <c r="E96" i="14"/>
  <c r="E94" i="14"/>
  <c r="E88" i="14"/>
  <c r="E85" i="14"/>
  <c r="E83" i="14"/>
  <c r="E81" i="14"/>
  <c r="E78" i="14"/>
  <c r="E76" i="14"/>
  <c r="E74" i="14"/>
  <c r="E107" i="14"/>
  <c r="E106" i="14" s="1"/>
  <c r="E104" i="14"/>
  <c r="E102" i="14"/>
  <c r="E99" i="14"/>
  <c r="E97" i="14"/>
  <c r="E95" i="14"/>
  <c r="E93" i="14"/>
  <c r="E87" i="14"/>
  <c r="E84" i="14"/>
  <c r="E82" i="14"/>
  <c r="E79" i="14"/>
  <c r="E77" i="14"/>
  <c r="E75" i="14"/>
  <c r="E73" i="14"/>
  <c r="E68" i="14"/>
  <c r="E67" i="14"/>
  <c r="E66" i="14"/>
  <c r="E65" i="14"/>
  <c r="E64" i="14"/>
  <c r="E62" i="14"/>
  <c r="E61" i="14"/>
  <c r="E60" i="14"/>
  <c r="E57" i="14"/>
  <c r="E56" i="14"/>
  <c r="E55" i="14"/>
  <c r="E54" i="14"/>
  <c r="E52" i="14"/>
  <c r="E50" i="14"/>
  <c r="E49" i="14" s="1"/>
  <c r="E48" i="14"/>
  <c r="E47" i="14"/>
  <c r="E46" i="14"/>
  <c r="E45" i="14"/>
  <c r="E44" i="14"/>
  <c r="E43" i="14"/>
  <c r="E41" i="14"/>
  <c r="E40" i="14"/>
  <c r="E37" i="14"/>
  <c r="E36" i="14"/>
  <c r="E35" i="14"/>
  <c r="E34" i="14"/>
  <c r="E32" i="14"/>
  <c r="E31" i="14"/>
  <c r="E29" i="14"/>
  <c r="E28" i="14"/>
  <c r="E27" i="14"/>
  <c r="E26" i="14"/>
  <c r="E25" i="14"/>
  <c r="E24" i="14"/>
  <c r="E22" i="14"/>
  <c r="E21" i="14"/>
  <c r="E20" i="14"/>
  <c r="E18" i="14"/>
  <c r="E17" i="14"/>
  <c r="E16" i="14"/>
  <c r="E14" i="14"/>
  <c r="E13" i="14"/>
  <c r="E12" i="14"/>
  <c r="E11" i="14"/>
  <c r="E10" i="14"/>
  <c r="E8" i="14"/>
  <c r="E7" i="14"/>
  <c r="E6" i="14"/>
  <c r="W108" i="14"/>
  <c r="D108" i="14" s="1"/>
  <c r="W105" i="14"/>
  <c r="W103" i="14"/>
  <c r="D103" i="14" s="1"/>
  <c r="W101" i="14"/>
  <c r="W98" i="14"/>
  <c r="W96" i="14"/>
  <c r="W94" i="14"/>
  <c r="W88" i="14"/>
  <c r="W85" i="14"/>
  <c r="W83" i="14"/>
  <c r="W81" i="14"/>
  <c r="W78" i="14"/>
  <c r="W76" i="14"/>
  <c r="W74" i="14"/>
  <c r="W107" i="14"/>
  <c r="W106" i="14" s="1"/>
  <c r="W104" i="14"/>
  <c r="W102" i="14"/>
  <c r="W99" i="14"/>
  <c r="W97" i="14"/>
  <c r="W95" i="14"/>
  <c r="D95" i="14" s="1"/>
  <c r="W93" i="14"/>
  <c r="W87" i="14"/>
  <c r="W84" i="14"/>
  <c r="W82" i="14"/>
  <c r="W79" i="14"/>
  <c r="W77" i="14"/>
  <c r="W75" i="14"/>
  <c r="W73" i="14"/>
  <c r="W68" i="14"/>
  <c r="W64" i="14"/>
  <c r="W57" i="14"/>
  <c r="W52" i="14"/>
  <c r="W51" i="14" s="1"/>
  <c r="W46" i="14"/>
  <c r="W41" i="14"/>
  <c r="W35" i="14"/>
  <c r="W29" i="14"/>
  <c r="W25" i="14"/>
  <c r="W20" i="14"/>
  <c r="W14" i="14"/>
  <c r="W10" i="14"/>
  <c r="W6" i="14"/>
  <c r="W65" i="14"/>
  <c r="D65" i="14" s="1"/>
  <c r="W60" i="14"/>
  <c r="W54" i="14"/>
  <c r="D54" i="14" s="1"/>
  <c r="W47" i="14"/>
  <c r="W43" i="14"/>
  <c r="D43" i="14" s="1"/>
  <c r="W36" i="14"/>
  <c r="W31" i="14"/>
  <c r="W26" i="14"/>
  <c r="W21" i="14"/>
  <c r="D21" i="14" s="1"/>
  <c r="W16" i="14"/>
  <c r="W11" i="14"/>
  <c r="W66" i="14"/>
  <c r="W61" i="14"/>
  <c r="W55" i="14"/>
  <c r="W48" i="14"/>
  <c r="W44" i="14"/>
  <c r="W37" i="14"/>
  <c r="W32" i="14"/>
  <c r="W27" i="14"/>
  <c r="W22" i="14"/>
  <c r="W17" i="14"/>
  <c r="W12" i="14"/>
  <c r="W7" i="14"/>
  <c r="W67" i="14"/>
  <c r="W62" i="14"/>
  <c r="W56" i="14"/>
  <c r="W50" i="14"/>
  <c r="W49" i="14" s="1"/>
  <c r="W45" i="14"/>
  <c r="W40" i="14"/>
  <c r="W39" i="14" s="1"/>
  <c r="W34" i="14"/>
  <c r="W28" i="14"/>
  <c r="W24" i="14"/>
  <c r="W18" i="14"/>
  <c r="W13" i="14"/>
  <c r="W8" i="14"/>
  <c r="L86" i="14"/>
  <c r="L72" i="14"/>
  <c r="L51" i="14"/>
  <c r="N86" i="14"/>
  <c r="G9" i="14" l="1"/>
  <c r="D83" i="14"/>
  <c r="D18" i="14"/>
  <c r="D28" i="14"/>
  <c r="D62" i="14"/>
  <c r="I86" i="14"/>
  <c r="D35" i="14"/>
  <c r="D57" i="14"/>
  <c r="K59" i="14"/>
  <c r="K86" i="14"/>
  <c r="G59" i="14"/>
  <c r="I92" i="14"/>
  <c r="D46" i="14"/>
  <c r="I100" i="14"/>
  <c r="I59" i="14"/>
  <c r="I106" i="14"/>
  <c r="G100" i="14"/>
  <c r="G86" i="14"/>
  <c r="G92" i="14"/>
  <c r="G106" i="14"/>
  <c r="K92" i="14"/>
  <c r="K106" i="14"/>
  <c r="D22" i="14"/>
  <c r="D32" i="14"/>
  <c r="D44" i="14"/>
  <c r="D55" i="14"/>
  <c r="D66" i="14"/>
  <c r="D75" i="14"/>
  <c r="K100" i="14"/>
  <c r="D31" i="14"/>
  <c r="D102" i="14"/>
  <c r="D56" i="14"/>
  <c r="D67" i="14"/>
  <c r="D25" i="14"/>
  <c r="D45" i="14"/>
  <c r="D85" i="14"/>
  <c r="D60" i="14"/>
  <c r="D68" i="14"/>
  <c r="D16" i="14"/>
  <c r="D26" i="14"/>
  <c r="D36" i="14"/>
  <c r="D47" i="14"/>
  <c r="D6" i="14"/>
  <c r="D27" i="14"/>
  <c r="E92" i="14"/>
  <c r="D17" i="14"/>
  <c r="D37" i="14"/>
  <c r="D48" i="14"/>
  <c r="D61" i="14"/>
  <c r="D20" i="14"/>
  <c r="D29" i="14"/>
  <c r="D41" i="14"/>
  <c r="E30" i="14"/>
  <c r="E33" i="14"/>
  <c r="E39" i="14"/>
  <c r="E42" i="14"/>
  <c r="E100" i="14"/>
  <c r="D52" i="14"/>
  <c r="W23" i="14"/>
  <c r="W33" i="14"/>
  <c r="D24" i="14"/>
  <c r="W92" i="14"/>
  <c r="W30" i="14"/>
  <c r="W42" i="14"/>
  <c r="W53" i="14"/>
  <c r="W9" i="14"/>
  <c r="W19" i="14"/>
  <c r="W63" i="14"/>
  <c r="W100" i="14"/>
  <c r="W15" i="14"/>
  <c r="W59" i="14"/>
  <c r="W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50" i="13" s="1"/>
  <c r="L51" i="13" s="1"/>
  <c r="L91" i="14"/>
  <c r="L91" i="13" s="1"/>
  <c r="L92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W72" i="14"/>
  <c r="W80" i="14"/>
  <c r="W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W4" i="14" l="1"/>
  <c r="W38" i="14"/>
  <c r="W58" i="14"/>
  <c r="D59" i="14"/>
  <c r="L4" i="14"/>
  <c r="L58" i="14"/>
  <c r="L38" i="14"/>
  <c r="D86" i="14"/>
  <c r="W91" i="14"/>
  <c r="W91" i="13" s="1"/>
  <c r="W92" i="13" s="1"/>
  <c r="W71" i="14"/>
  <c r="W50" i="13" s="1"/>
  <c r="W51" i="13" s="1"/>
  <c r="F63" i="14"/>
  <c r="G63" i="14"/>
  <c r="I63" i="14"/>
  <c r="K63" i="14"/>
  <c r="M63" i="14"/>
  <c r="N63" i="14"/>
  <c r="O63" i="14"/>
  <c r="S63" i="14"/>
  <c r="T63" i="14"/>
  <c r="U63" i="14"/>
  <c r="V63" i="14"/>
  <c r="E63" i="14"/>
  <c r="W3" i="14" l="1"/>
  <c r="W9" i="13" s="1"/>
  <c r="W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T58" i="14"/>
  <c r="V58" i="14"/>
  <c r="V80" i="14"/>
  <c r="U80" i="14"/>
  <c r="T80" i="14"/>
  <c r="S80" i="14"/>
  <c r="O80" i="14"/>
  <c r="N80" i="14"/>
  <c r="M80" i="14"/>
  <c r="K80" i="14"/>
  <c r="J80" i="14"/>
  <c r="I80" i="14"/>
  <c r="G80" i="14"/>
  <c r="F80" i="14"/>
  <c r="E80" i="14"/>
  <c r="V72" i="14"/>
  <c r="U72" i="14"/>
  <c r="T72" i="14"/>
  <c r="S72" i="14"/>
  <c r="O72" i="14"/>
  <c r="N72" i="14"/>
  <c r="M72" i="14"/>
  <c r="K72" i="14"/>
  <c r="J72" i="14"/>
  <c r="I72" i="14"/>
  <c r="G72" i="14"/>
  <c r="F72" i="14"/>
  <c r="V53" i="14"/>
  <c r="U53" i="14"/>
  <c r="T53" i="14"/>
  <c r="S53" i="14"/>
  <c r="O53" i="14"/>
  <c r="N53" i="14"/>
  <c r="M53" i="14"/>
  <c r="K53" i="14"/>
  <c r="J53" i="14"/>
  <c r="I53" i="14"/>
  <c r="G53" i="14"/>
  <c r="F53" i="14"/>
  <c r="E53" i="14"/>
  <c r="V51" i="14"/>
  <c r="U51" i="14"/>
  <c r="T51" i="14"/>
  <c r="S51" i="14"/>
  <c r="O51" i="14"/>
  <c r="N51" i="14"/>
  <c r="M51" i="14"/>
  <c r="K51" i="14"/>
  <c r="J51" i="14"/>
  <c r="I51" i="14"/>
  <c r="G51" i="14"/>
  <c r="F51" i="14"/>
  <c r="E51" i="14"/>
  <c r="V49" i="14"/>
  <c r="U49" i="14"/>
  <c r="T49" i="14"/>
  <c r="S49" i="14"/>
  <c r="O49" i="14"/>
  <c r="N49" i="14"/>
  <c r="M49" i="14"/>
  <c r="K49" i="14"/>
  <c r="J49" i="14"/>
  <c r="I49" i="14"/>
  <c r="V42" i="14"/>
  <c r="U42" i="14"/>
  <c r="T42" i="14"/>
  <c r="S42" i="14"/>
  <c r="O42" i="14"/>
  <c r="N42" i="14"/>
  <c r="M42" i="14"/>
  <c r="K42" i="14"/>
  <c r="J42" i="14"/>
  <c r="I42" i="14"/>
  <c r="G42" i="14"/>
  <c r="F42" i="14"/>
  <c r="V39" i="14"/>
  <c r="U39" i="14"/>
  <c r="T39" i="14"/>
  <c r="S39" i="14"/>
  <c r="O39" i="14"/>
  <c r="N39" i="14"/>
  <c r="M39" i="14"/>
  <c r="K39" i="14"/>
  <c r="J39" i="14"/>
  <c r="I39" i="14"/>
  <c r="G39" i="14"/>
  <c r="F39" i="14"/>
  <c r="V33" i="14"/>
  <c r="U33" i="14"/>
  <c r="T33" i="14"/>
  <c r="S33" i="14"/>
  <c r="O33" i="14"/>
  <c r="N33" i="14"/>
  <c r="M33" i="14"/>
  <c r="K33" i="14"/>
  <c r="J33" i="14"/>
  <c r="I33" i="14"/>
  <c r="G33" i="14"/>
  <c r="F33" i="14"/>
  <c r="V30" i="14"/>
  <c r="U30" i="14"/>
  <c r="T30" i="14"/>
  <c r="S30" i="14"/>
  <c r="O30" i="14"/>
  <c r="N30" i="14"/>
  <c r="M30" i="14"/>
  <c r="K30" i="14"/>
  <c r="J30" i="14"/>
  <c r="I30" i="14"/>
  <c r="G30" i="14"/>
  <c r="F30" i="14"/>
  <c r="V23" i="14"/>
  <c r="U23" i="14"/>
  <c r="T23" i="14"/>
  <c r="S23" i="14"/>
  <c r="O23" i="14"/>
  <c r="N23" i="14"/>
  <c r="M23" i="14"/>
  <c r="K23" i="14"/>
  <c r="J23" i="14"/>
  <c r="I23" i="14"/>
  <c r="G23" i="14"/>
  <c r="F23" i="14"/>
  <c r="E23" i="14"/>
  <c r="V19" i="14"/>
  <c r="U19" i="14"/>
  <c r="T19" i="14"/>
  <c r="S19" i="14"/>
  <c r="O19" i="14"/>
  <c r="N19" i="14"/>
  <c r="M19" i="14"/>
  <c r="K19" i="14"/>
  <c r="J19" i="14"/>
  <c r="I19" i="14"/>
  <c r="G19" i="14"/>
  <c r="F19" i="14"/>
  <c r="V15" i="14"/>
  <c r="U15" i="14"/>
  <c r="T15" i="14"/>
  <c r="S15" i="14"/>
  <c r="O15" i="14"/>
  <c r="N15" i="14"/>
  <c r="M15" i="14"/>
  <c r="K15" i="14"/>
  <c r="J15" i="14"/>
  <c r="I15" i="14"/>
  <c r="G15" i="14"/>
  <c r="F15" i="14"/>
  <c r="E15" i="14"/>
  <c r="V9" i="14"/>
  <c r="U9" i="14"/>
  <c r="T9" i="14"/>
  <c r="S9" i="14"/>
  <c r="O9" i="14"/>
  <c r="N9" i="14"/>
  <c r="M9" i="14"/>
  <c r="K9" i="14"/>
  <c r="J9" i="14"/>
  <c r="I9" i="14"/>
  <c r="F9" i="14"/>
  <c r="E9" i="14"/>
  <c r="V5" i="14"/>
  <c r="U5" i="14"/>
  <c r="T5" i="14"/>
  <c r="S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S4" i="14"/>
  <c r="U4" i="14"/>
  <c r="G38" i="14"/>
  <c r="J38" i="14"/>
  <c r="M38" i="14"/>
  <c r="O38" i="14"/>
  <c r="T38" i="14"/>
  <c r="V38" i="14"/>
  <c r="F38" i="14"/>
  <c r="I38" i="14"/>
  <c r="K38" i="14"/>
  <c r="N38" i="14"/>
  <c r="S38" i="14"/>
  <c r="U38" i="14"/>
  <c r="G4" i="14"/>
  <c r="J4" i="14"/>
  <c r="M4" i="14"/>
  <c r="O4" i="14"/>
  <c r="T4" i="14"/>
  <c r="V4" i="14"/>
  <c r="E4" i="14"/>
  <c r="N91" i="14"/>
  <c r="N91" i="13" s="1"/>
  <c r="G91" i="14"/>
  <c r="G91" i="13" s="1"/>
  <c r="M91" i="14"/>
  <c r="M91" i="13" s="1"/>
  <c r="T91" i="14"/>
  <c r="T91" i="13" s="1"/>
  <c r="G71" i="14"/>
  <c r="G50" i="13" s="1"/>
  <c r="M71" i="14"/>
  <c r="M50" i="13" s="1"/>
  <c r="T71" i="14"/>
  <c r="T50" i="13" s="1"/>
  <c r="I71" i="14"/>
  <c r="I50" i="13" s="1"/>
  <c r="N71" i="14"/>
  <c r="N50" i="13" s="1"/>
  <c r="U71" i="14"/>
  <c r="U50" i="13" s="1"/>
  <c r="I91" i="14"/>
  <c r="I91" i="13" s="1"/>
  <c r="U91" i="14"/>
  <c r="U91" i="13" s="1"/>
  <c r="E91" i="14"/>
  <c r="F71" i="14"/>
  <c r="F50" i="13" s="1"/>
  <c r="K71" i="14"/>
  <c r="K50" i="13" s="1"/>
  <c r="S71" i="14"/>
  <c r="S50" i="13" s="1"/>
  <c r="J71" i="14"/>
  <c r="J50" i="13" s="1"/>
  <c r="O71" i="14"/>
  <c r="O50" i="13" s="1"/>
  <c r="V71" i="14"/>
  <c r="V50" i="13" s="1"/>
  <c r="F91" i="14"/>
  <c r="F91" i="13" s="1"/>
  <c r="K91" i="14"/>
  <c r="K91" i="13" s="1"/>
  <c r="S91" i="14"/>
  <c r="S91" i="13" s="1"/>
  <c r="J91" i="14"/>
  <c r="J91" i="13" s="1"/>
  <c r="O91" i="14"/>
  <c r="O91" i="13" s="1"/>
  <c r="V91" i="14"/>
  <c r="V91" i="13" s="1"/>
  <c r="E71" i="14"/>
  <c r="D28" i="12"/>
  <c r="U58" i="14"/>
  <c r="N58" i="14"/>
  <c r="I58" i="14"/>
  <c r="E58" i="14"/>
  <c r="S58" i="14"/>
  <c r="K58" i="14"/>
  <c r="F58" i="14"/>
  <c r="D71" i="14" l="1"/>
  <c r="D58" i="14"/>
  <c r="C28" i="12" s="1"/>
  <c r="E91" i="13"/>
  <c r="D91" i="14"/>
  <c r="D38" i="14"/>
  <c r="D4" i="14"/>
  <c r="Q92" i="13"/>
  <c r="Q51" i="13"/>
  <c r="E3" i="14"/>
  <c r="V3" i="14"/>
  <c r="V9" i="13" s="1"/>
  <c r="J3" i="14"/>
  <c r="J9" i="13" s="1"/>
  <c r="O3" i="14"/>
  <c r="O9" i="13" s="1"/>
  <c r="E50" i="13"/>
  <c r="S3" i="14"/>
  <c r="S9" i="13" s="1"/>
  <c r="U3" i="14"/>
  <c r="U9" i="13" s="1"/>
  <c r="G3" i="14"/>
  <c r="G9" i="13" s="1"/>
  <c r="K3" i="14"/>
  <c r="K9" i="13" s="1"/>
  <c r="T3" i="14"/>
  <c r="T9" i="13" s="1"/>
  <c r="M3" i="14"/>
  <c r="M9" i="13" s="1"/>
  <c r="N3" i="14"/>
  <c r="N9" i="13" s="1"/>
  <c r="I3" i="14"/>
  <c r="I9" i="13" s="1"/>
  <c r="F3" i="14"/>
  <c r="E9" i="13" l="1"/>
  <c r="E10" i="13" s="1"/>
  <c r="D3" i="14"/>
  <c r="D91" i="13"/>
  <c r="Q10" i="13"/>
  <c r="D50" i="13"/>
  <c r="C19" i="12"/>
  <c r="C18" i="12"/>
  <c r="F9" i="13"/>
  <c r="D9" i="13" l="1"/>
  <c r="C17" i="12"/>
  <c r="I123" i="13" l="1"/>
  <c r="J123" i="13"/>
  <c r="N123" i="13"/>
  <c r="O123" i="13"/>
  <c r="U123" i="13"/>
  <c r="V123" i="13"/>
  <c r="T123" i="13"/>
  <c r="S123" i="13"/>
  <c r="M123" i="13"/>
  <c r="G123" i="13"/>
  <c r="F123" i="13"/>
  <c r="V82" i="13"/>
  <c r="U82" i="13"/>
  <c r="T82" i="13"/>
  <c r="S82" i="13"/>
  <c r="N82" i="13"/>
  <c r="M82" i="13"/>
  <c r="K82" i="13"/>
  <c r="I82" i="13"/>
  <c r="G82" i="13"/>
  <c r="D82" i="13" l="1"/>
  <c r="D123" i="13"/>
  <c r="E27" i="12" s="1"/>
  <c r="E29" i="12" s="1"/>
  <c r="D27" i="12" l="1"/>
  <c r="D29" i="12" s="1"/>
  <c r="F116" i="13"/>
  <c r="F75" i="13"/>
  <c r="F41" i="13"/>
  <c r="F34" i="13"/>
  <c r="V116" i="13"/>
  <c r="U116" i="13"/>
  <c r="T116" i="13"/>
  <c r="S116" i="13"/>
  <c r="O116" i="13"/>
  <c r="N116" i="13"/>
  <c r="M116" i="13"/>
  <c r="K116" i="13"/>
  <c r="J116" i="13"/>
  <c r="I116" i="13"/>
  <c r="G116" i="13"/>
  <c r="E116" i="13"/>
  <c r="E124" i="13" s="1"/>
  <c r="V75" i="13"/>
  <c r="U75" i="13"/>
  <c r="T75" i="13"/>
  <c r="S75" i="13"/>
  <c r="O75" i="13"/>
  <c r="N75" i="13"/>
  <c r="M75" i="13"/>
  <c r="K75" i="13"/>
  <c r="J75" i="13"/>
  <c r="I75" i="13"/>
  <c r="G75" i="13"/>
  <c r="V41" i="13"/>
  <c r="U41" i="13"/>
  <c r="T41" i="13"/>
  <c r="S41" i="13"/>
  <c r="O41" i="13"/>
  <c r="N41" i="13"/>
  <c r="M41" i="13"/>
  <c r="K41" i="13"/>
  <c r="I41" i="13"/>
  <c r="G41" i="13"/>
  <c r="V34" i="13"/>
  <c r="U34" i="13"/>
  <c r="T34" i="13"/>
  <c r="S34" i="13"/>
  <c r="O34" i="13"/>
  <c r="N34" i="13"/>
  <c r="M34" i="13"/>
  <c r="K34" i="13"/>
  <c r="J34" i="13"/>
  <c r="I34" i="13"/>
  <c r="G34" i="13"/>
  <c r="E17" i="12"/>
  <c r="D17" i="12"/>
  <c r="D116" i="13" l="1"/>
  <c r="E16" i="12" s="1"/>
  <c r="D75" i="13"/>
  <c r="D16" i="12" s="1"/>
  <c r="D34" i="13"/>
  <c r="C16" i="12" s="1"/>
  <c r="D27" i="13"/>
  <c r="C15" i="12" s="1"/>
  <c r="D41" i="13"/>
  <c r="C27" i="12" s="1"/>
  <c r="C29" i="12" s="1"/>
  <c r="M42" i="13"/>
  <c r="M83" i="13"/>
  <c r="D109" i="13"/>
  <c r="E15" i="12" s="1"/>
  <c r="V42" i="13"/>
  <c r="D68" i="13"/>
  <c r="D15" i="12" s="1"/>
  <c r="I88" i="13"/>
  <c r="I90" i="13" s="1"/>
  <c r="I92" i="13" s="1"/>
  <c r="N88" i="13"/>
  <c r="N90" i="13" s="1"/>
  <c r="N92" i="13" s="1"/>
  <c r="G88" i="13"/>
  <c r="G90" i="13" s="1"/>
  <c r="G92" i="13" s="1"/>
  <c r="M88" i="13"/>
  <c r="M90" i="13" s="1"/>
  <c r="M92" i="13" s="1"/>
  <c r="T88" i="13"/>
  <c r="T90" i="13" s="1"/>
  <c r="T92" i="13" s="1"/>
  <c r="J88" i="13"/>
  <c r="J90" i="13" s="1"/>
  <c r="J92" i="13" s="1"/>
  <c r="V124" i="13"/>
  <c r="U88" i="13"/>
  <c r="U90" i="13" s="1"/>
  <c r="U92" i="13" s="1"/>
  <c r="U124" i="13"/>
  <c r="I6" i="13"/>
  <c r="I8" i="13" s="1"/>
  <c r="I10" i="13" s="1"/>
  <c r="K6" i="13"/>
  <c r="K8" i="13" s="1"/>
  <c r="K10" i="13" s="1"/>
  <c r="N6" i="13"/>
  <c r="N8" i="13" s="1"/>
  <c r="N10" i="13" s="1"/>
  <c r="U6" i="13"/>
  <c r="U8" i="13" s="1"/>
  <c r="U10" i="13" s="1"/>
  <c r="G47" i="13"/>
  <c r="G49" i="13" s="1"/>
  <c r="G51" i="13" s="1"/>
  <c r="J47" i="13"/>
  <c r="J49" i="13" s="1"/>
  <c r="J51" i="13" s="1"/>
  <c r="M47" i="13"/>
  <c r="M49" i="13" s="1"/>
  <c r="M51" i="13" s="1"/>
  <c r="O47" i="13"/>
  <c r="O49" i="13" s="1"/>
  <c r="O51" i="13" s="1"/>
  <c r="T47" i="13"/>
  <c r="T49" i="13" s="1"/>
  <c r="T51" i="13" s="1"/>
  <c r="F47" i="13"/>
  <c r="F49" i="13" s="1"/>
  <c r="F51" i="13" s="1"/>
  <c r="J83" i="13"/>
  <c r="I47" i="13"/>
  <c r="I49" i="13" s="1"/>
  <c r="I51" i="13" s="1"/>
  <c r="N47" i="13"/>
  <c r="N49" i="13" s="1"/>
  <c r="N51" i="13" s="1"/>
  <c r="U47" i="13"/>
  <c r="U49" i="13" s="1"/>
  <c r="U51" i="13" s="1"/>
  <c r="G6" i="13"/>
  <c r="G8" i="13" s="1"/>
  <c r="G10" i="13" s="1"/>
  <c r="M6" i="13"/>
  <c r="M8" i="13" s="1"/>
  <c r="M10" i="13" s="1"/>
  <c r="T6" i="13"/>
  <c r="T8" i="13" s="1"/>
  <c r="T10" i="13" s="1"/>
  <c r="F6" i="13"/>
  <c r="S6" i="13"/>
  <c r="S8" i="13" s="1"/>
  <c r="S10" i="13" s="1"/>
  <c r="V83" i="13"/>
  <c r="V47" i="13"/>
  <c r="V49" i="13" s="1"/>
  <c r="V51" i="13" s="1"/>
  <c r="O88" i="13"/>
  <c r="O90" i="13" s="1"/>
  <c r="O92" i="13" s="1"/>
  <c r="V88" i="13"/>
  <c r="V90" i="13" s="1"/>
  <c r="V92" i="13" s="1"/>
  <c r="J6" i="13"/>
  <c r="J8" i="13" s="1"/>
  <c r="J10" i="13" s="1"/>
  <c r="O6" i="13"/>
  <c r="O8" i="13" s="1"/>
  <c r="O10" i="13" s="1"/>
  <c r="V6" i="13"/>
  <c r="V8" i="13" s="1"/>
  <c r="V10" i="13" s="1"/>
  <c r="E83" i="13"/>
  <c r="E47" i="13"/>
  <c r="K47" i="13"/>
  <c r="K49" i="13" s="1"/>
  <c r="K51" i="13" s="1"/>
  <c r="S47" i="13"/>
  <c r="S49" i="13" s="1"/>
  <c r="S51" i="13" s="1"/>
  <c r="E88" i="13"/>
  <c r="K88" i="13"/>
  <c r="K90" i="13" s="1"/>
  <c r="K92" i="13" s="1"/>
  <c r="S88" i="13"/>
  <c r="S90" i="13" s="1"/>
  <c r="S92" i="13" s="1"/>
  <c r="F88" i="13"/>
  <c r="F90" i="13" s="1"/>
  <c r="F92" i="13" s="1"/>
  <c r="F124" i="13"/>
  <c r="T83" i="13"/>
  <c r="O124" i="13"/>
  <c r="T124" i="13"/>
  <c r="M124" i="13"/>
  <c r="N42" i="13"/>
  <c r="N83" i="13"/>
  <c r="G124" i="13"/>
  <c r="J42" i="13"/>
  <c r="K124" i="13"/>
  <c r="S124" i="13"/>
  <c r="I124" i="13"/>
  <c r="J124" i="13"/>
  <c r="O42" i="13"/>
  <c r="S42" i="13"/>
  <c r="T42" i="13"/>
  <c r="K83" i="13"/>
  <c r="S83" i="13"/>
  <c r="K42" i="13"/>
  <c r="I42" i="13"/>
  <c r="U42" i="13"/>
  <c r="O83" i="13"/>
  <c r="G42" i="13"/>
  <c r="G83" i="13"/>
  <c r="I83" i="13"/>
  <c r="U83" i="13"/>
  <c r="N124" i="13"/>
  <c r="F42" i="13"/>
  <c r="F83" i="13"/>
  <c r="D124" i="13" l="1"/>
  <c r="D83" i="13"/>
  <c r="D42" i="13"/>
  <c r="D6" i="13"/>
  <c r="F8" i="13"/>
  <c r="D88" i="13"/>
  <c r="D47" i="13"/>
  <c r="D14" i="12"/>
  <c r="D20" i="12" s="1"/>
  <c r="D31" i="12" s="1"/>
  <c r="E14" i="12"/>
  <c r="E20" i="12" s="1"/>
  <c r="E31" i="12" s="1"/>
  <c r="C14" i="12"/>
  <c r="C20" i="12" s="1"/>
  <c r="C31" i="12" s="1"/>
  <c r="E49" i="13"/>
  <c r="E90" i="13"/>
  <c r="F10" i="13" l="1"/>
  <c r="D10" i="13" s="1"/>
  <c r="D8" i="13"/>
  <c r="E92" i="13"/>
  <c r="D92" i="13" s="1"/>
  <c r="D90" i="13"/>
  <c r="E51" i="13"/>
  <c r="D51" i="13" s="1"/>
  <c r="D49" i="13"/>
  <c r="K36" i="12" l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7" i="12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MinFin</author>
  </authors>
  <commentList>
    <comment ref="A12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 xr:uid="{00000000-0006-0000-0600-000003000000}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 xr:uid="{00000000-0006-0000-0600-000004000000}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 xr:uid="{00000000-0006-0000-0600-000005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 xr:uid="{00000000-0006-0000-0600-000006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 xr:uid="{00000000-0006-0000-0600-000007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<sst xmlns="http://schemas.openxmlformats.org/spreadsheetml/2006/main" count="4957" uniqueCount="2340">
  <si>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</si>
  <si>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</si>
  <si>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</si>
  <si>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</si>
  <si>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</si>
  <si>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</si>
  <si>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</si>
  <si>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</si>
  <si>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</si>
  <si>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</si>
  <si>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</si>
  <si>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</si>
  <si>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</si>
  <si>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</si>
  <si>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</si>
  <si>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</si>
  <si>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</si>
  <si>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</si>
  <si>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</si>
  <si>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</si>
  <si>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</si>
  <si>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</si>
  <si>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</si>
  <si>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</si>
  <si>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</si>
  <si>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</si>
  <si>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</si>
  <si>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</si>
  <si>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</si>
  <si>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</si>
  <si>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</si>
  <si>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</si>
  <si>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</si>
  <si>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</si>
  <si>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</si>
  <si>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</si>
  <si>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</si>
  <si>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</si>
  <si>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</si>
  <si>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</si>
  <si>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</si>
  <si>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</si>
  <si>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</si>
  <si>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</si>
  <si>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</si>
  <si>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</si>
  <si>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</si>
  <si>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</si>
  <si>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</si>
  <si>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</si>
  <si>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</si>
  <si>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</si>
  <si>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</si>
  <si>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</si>
  <si>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</si>
  <si>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</si>
  <si>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</si>
  <si>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</si>
  <si>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</si>
  <si>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</si>
  <si>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</si>
  <si>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</si>
  <si>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</si>
  <si>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</si>
  <si>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</si>
  <si>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</si>
  <si>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</si>
  <si>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</si>
  <si>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</si>
  <si>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</si>
  <si>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</si>
  <si>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</si>
  <si>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</si>
  <si>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</si>
  <si>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</si>
  <si>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</si>
  <si>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</si>
  <si>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</si>
  <si>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</si>
  <si>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</si>
  <si>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</si>
  <si>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</si>
  <si>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</si>
  <si>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</si>
  <si>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</si>
  <si>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</si>
  <si>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</si>
  <si>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</si>
  <si>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</si>
  <si>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</si>
  <si>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</si>
  <si>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</si>
  <si>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</si>
  <si>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</si>
  <si>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</si>
  <si>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</si>
  <si>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</si>
  <si>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</si>
  <si>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</si>
  <si>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</si>
  <si>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</si>
  <si>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</si>
  <si>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</si>
  <si>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</si>
  <si>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</si>
  <si>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</si>
  <si>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</si>
  <si>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</si>
  <si>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</si>
  <si>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</si>
  <si>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</si>
  <si>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</si>
  <si>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</si>
  <si>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</si>
  <si>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</si>
  <si>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</si>
  <si>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</si>
  <si>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</si>
  <si>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</si>
  <si>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</si>
  <si>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</si>
  <si>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</si>
  <si>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</si>
  <si>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</si>
  <si>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</si>
  <si>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</si>
  <si>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</si>
  <si>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</si>
  <si>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</si>
  <si>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</si>
  <si>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</si>
  <si>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</si>
  <si>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</si>
  <si>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</si>
  <si>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</si>
  <si>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</si>
  <si>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</si>
  <si>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</si>
  <si>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</si>
  <si>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</si>
  <si>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</si>
  <si>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</si>
  <si>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</si>
  <si>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</si>
  <si>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</si>
  <si>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</si>
  <si>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</si>
  <si>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</si>
  <si>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</si>
  <si>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</si>
  <si>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</si>
  <si>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</si>
  <si>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</si>
  <si>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</si>
  <si>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</si>
  <si>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</si>
  <si>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</si>
  <si>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</si>
  <si>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</si>
  <si>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</si>
  <si>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</si>
  <si>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</si>
  <si>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</si>
  <si>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</si>
  <si>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</si>
  <si>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</si>
  <si>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</si>
  <si>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</si>
  <si>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</si>
  <si>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</si>
  <si>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</si>
  <si>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</si>
  <si>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</si>
  <si>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</si>
  <si>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</si>
  <si>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</si>
  <si>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</si>
  <si>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</si>
  <si>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</si>
  <si>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</si>
  <si>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</si>
  <si>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</si>
  <si>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</si>
  <si>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</si>
  <si>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</si>
  <si>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</si>
  <si>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</si>
  <si>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</si>
  <si>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</si>
  <si>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</si>
  <si>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</si>
  <si>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</si>
  <si>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</si>
  <si>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</si>
  <si>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</si>
  <si>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</si>
  <si>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</si>
  <si>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</si>
  <si>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</si>
  <si>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</si>
  <si>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</si>
  <si>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</si>
  <si>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</si>
  <si>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</si>
  <si>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</si>
  <si>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</si>
  <si>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</si>
  <si>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</si>
  <si>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</si>
  <si>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</si>
  <si>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</si>
  <si>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</si>
  <si>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</si>
  <si>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</si>
  <si>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</si>
  <si>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</si>
  <si>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</si>
  <si>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</si>
  <si>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</si>
  <si>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</si>
  <si>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</si>
  <si>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</si>
  <si>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</si>
  <si>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</si>
  <si>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</si>
  <si>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</si>
  <si>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</si>
  <si>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</si>
  <si>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</si>
  <si>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</si>
  <si>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</si>
  <si>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</si>
  <si>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</si>
  <si>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</si>
  <si>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</si>
  <si>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</si>
  <si>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</si>
  <si>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</si>
  <si>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</si>
  <si>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</si>
  <si>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</si>
  <si>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</si>
  <si>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</si>
  <si>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</si>
  <si>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</si>
  <si>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</si>
  <si>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</si>
  <si>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</si>
  <si>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</si>
  <si>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</si>
  <si>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</si>
  <si>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</si>
  <si>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</si>
  <si>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</si>
  <si>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</si>
  <si>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</si>
  <si>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</si>
  <si>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</si>
  <si>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</si>
  <si>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</si>
  <si>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</si>
  <si>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</si>
  <si>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</si>
  <si>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</si>
  <si>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</si>
  <si>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</si>
  <si>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</si>
  <si>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</si>
  <si>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</si>
  <si>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</si>
  <si>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</si>
  <si>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</si>
  <si>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</si>
  <si>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</si>
  <si>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</si>
  <si>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</si>
  <si>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</si>
  <si>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</si>
  <si>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</si>
  <si>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</si>
  <si>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</si>
  <si>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</si>
  <si>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</si>
  <si>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</si>
  <si>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</si>
  <si>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</si>
  <si>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</si>
  <si>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</si>
  <si>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</si>
  <si>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</si>
  <si>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</si>
  <si>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</si>
  <si>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</si>
  <si>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</si>
  <si>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</si>
  <si>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</si>
  <si>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</si>
  <si>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</si>
  <si>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</si>
  <si>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</si>
  <si>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</si>
  <si>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</si>
  <si>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</si>
  <si>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</si>
  <si>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</si>
  <si>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</si>
  <si>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</si>
  <si>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</si>
  <si>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</si>
  <si>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</si>
  <si>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</si>
  <si>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</si>
  <si>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</si>
  <si>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</si>
  <si>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</si>
  <si>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</si>
  <si>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</si>
  <si>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</si>
  <si>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</si>
  <si>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</si>
  <si>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</si>
  <si>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</si>
  <si>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</si>
  <si>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</si>
  <si>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</si>
  <si>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</si>
  <si>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</si>
  <si>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</si>
  <si>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</si>
  <si>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</si>
  <si>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</si>
  <si>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</si>
  <si>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</si>
  <si>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</si>
  <si>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</si>
  <si>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</si>
  <si>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</si>
  <si>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</si>
  <si>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</si>
  <si>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</si>
  <si>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</si>
  <si>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</si>
  <si>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</si>
  <si>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</si>
  <si>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</si>
  <si>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</si>
  <si>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</si>
  <si>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</si>
  <si>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</si>
  <si>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</si>
  <si>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</si>
  <si>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</si>
  <si>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</si>
  <si>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</si>
  <si>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</si>
  <si>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</si>
  <si>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</si>
  <si>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</si>
  <si>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</si>
  <si>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</si>
  <si>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</si>
  <si>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</si>
  <si>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</si>
  <si>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</si>
  <si>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</si>
  <si>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</si>
  <si>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</si>
  <si>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</si>
  <si>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</si>
  <si>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</si>
  <si>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</si>
  <si>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</si>
  <si>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</si>
  <si>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</si>
  <si>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</si>
  <si>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</si>
  <si>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</si>
  <si>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</si>
  <si>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</si>
  <si>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</si>
  <si>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</si>
  <si>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</si>
  <si>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</si>
  <si>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</si>
  <si>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</si>
  <si>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</si>
  <si>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</si>
  <si>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</si>
  <si>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</si>
  <si>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</si>
  <si>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</si>
  <si>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</si>
  <si>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</si>
  <si>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</si>
  <si>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</si>
  <si>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</si>
  <si>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04150850819</t>
  </si>
  <si>
    <t>SVEUČILIŠTE J.J STROSSMAYERA U OSIJEKU - MEDICINSKI FAKULTET</t>
  </si>
  <si>
    <t>HUTTLEROVA 4</t>
  </si>
  <si>
    <t>16214165873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</si>
  <si>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</si>
  <si>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</si>
  <si>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</si>
  <si>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</si>
  <si>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</si>
  <si>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</si>
  <si>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</si>
  <si>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</si>
  <si>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</si>
  <si>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</si>
  <si>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</si>
  <si>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</si>
  <si>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</si>
  <si>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</si>
  <si>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</si>
  <si>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</si>
  <si>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</si>
  <si>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</si>
  <si>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</si>
  <si>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</si>
  <si>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</si>
  <si>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</si>
  <si>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</si>
  <si>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</si>
  <si>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</si>
  <si>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</si>
  <si>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</si>
  <si>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</si>
  <si>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</si>
  <si>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</si>
  <si>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</si>
  <si>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</si>
  <si>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</si>
  <si>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</si>
  <si>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</si>
  <si>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</si>
  <si>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</si>
  <si>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</si>
  <si>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</si>
  <si>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</si>
  <si>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</si>
  <si>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</si>
  <si>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</si>
  <si>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</si>
  <si>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</si>
  <si>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</si>
  <si>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</si>
  <si>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</si>
  <si>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</si>
  <si>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</si>
  <si>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</si>
  <si>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</si>
  <si>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</si>
  <si>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</si>
  <si>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</si>
  <si>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</si>
  <si>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</si>
  <si>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</si>
  <si>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</si>
  <si>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</si>
  <si>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</si>
  <si>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</si>
  <si>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</si>
  <si>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</si>
  <si>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</si>
  <si>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</si>
  <si>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</si>
  <si>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</si>
  <si>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</si>
  <si>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</si>
  <si>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</si>
  <si>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</si>
  <si>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</si>
  <si>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</si>
  <si>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</si>
  <si>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</si>
  <si>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</si>
  <si>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</si>
  <si>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</si>
  <si>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</si>
  <si>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</si>
  <si>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</si>
  <si>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</si>
  <si>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</si>
  <si>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</si>
  <si>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</si>
  <si>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</si>
  <si>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</si>
  <si>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</si>
  <si>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</si>
  <si>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</si>
  <si>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</si>
  <si>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</si>
  <si>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</si>
  <si>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</si>
  <si>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</si>
  <si>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</si>
  <si>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</si>
  <si>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</si>
  <si>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</si>
  <si>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</si>
  <si>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</si>
  <si>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</si>
  <si>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</si>
  <si>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</si>
  <si>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</si>
  <si>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</si>
  <si>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</si>
  <si>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</si>
  <si>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</si>
  <si>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</si>
  <si>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</si>
  <si>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</si>
  <si>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</si>
  <si>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</si>
  <si>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</si>
  <si>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</si>
  <si>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</si>
  <si>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</si>
  <si>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</si>
  <si>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</si>
  <si>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</si>
  <si>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</si>
  <si>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</si>
  <si>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</si>
  <si>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</si>
  <si>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</si>
  <si>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</si>
  <si>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</si>
  <si>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</si>
  <si>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</si>
  <si>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</si>
  <si>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</si>
  <si>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</si>
  <si>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</si>
  <si>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</si>
  <si>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</si>
  <si>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</si>
  <si>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</si>
  <si>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</si>
  <si>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</si>
  <si>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</si>
  <si>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</si>
  <si>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</si>
  <si>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</si>
  <si>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</si>
  <si>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</si>
  <si>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</si>
  <si>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</si>
  <si>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</si>
  <si>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</si>
  <si>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</si>
  <si>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</si>
  <si>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</si>
  <si>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</si>
  <si>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</si>
  <si>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</si>
  <si>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</si>
  <si>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</si>
  <si>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</si>
  <si>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</si>
  <si>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</si>
  <si>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</si>
  <si>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</si>
  <si>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</si>
  <si>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</si>
  <si>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</si>
  <si>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</si>
  <si>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</si>
  <si>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</si>
  <si>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</si>
  <si>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</si>
  <si>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</si>
  <si>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</si>
  <si>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</si>
  <si>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</si>
  <si>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</si>
  <si>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</si>
  <si>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</si>
  <si>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</si>
  <si>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</si>
  <si>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</si>
  <si>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</si>
  <si>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</si>
  <si>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</si>
  <si>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</si>
  <si>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</si>
  <si>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</si>
  <si>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</si>
  <si>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</si>
  <si>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</si>
  <si>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</si>
  <si>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</si>
  <si>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</si>
  <si>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</si>
  <si>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</si>
  <si>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</si>
  <si>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</si>
  <si>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</si>
  <si>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</si>
  <si>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</si>
  <si>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</si>
  <si>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</si>
  <si>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</si>
  <si>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</si>
  <si>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</si>
  <si>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</si>
  <si>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</si>
  <si>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</si>
  <si>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</si>
  <si>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</si>
  <si>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</si>
  <si>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</si>
  <si>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</si>
  <si>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</si>
  <si>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</si>
  <si>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</si>
  <si>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</si>
  <si>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</si>
  <si>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</si>
  <si>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</si>
  <si>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</si>
  <si>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</si>
  <si>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</si>
  <si>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</si>
  <si>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</si>
  <si>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</si>
  <si>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</si>
  <si>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</si>
  <si>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</si>
  <si>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</si>
  <si>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</si>
  <si>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</si>
  <si>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</si>
  <si>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</si>
  <si>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</si>
  <si>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</si>
  <si>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</si>
  <si>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</si>
  <si>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</si>
  <si>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</si>
  <si>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</si>
  <si>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</si>
  <si>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</si>
  <si>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</si>
  <si>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</si>
  <si>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</si>
  <si>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</si>
  <si>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</si>
  <si>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</si>
  <si>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</si>
  <si>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</si>
  <si>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</si>
  <si>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</si>
  <si>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</si>
  <si>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</si>
  <si>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</si>
  <si>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</si>
  <si>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</si>
  <si>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</si>
  <si>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</si>
  <si>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</si>
  <si>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</si>
  <si>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</si>
  <si>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</si>
  <si>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</si>
  <si>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</si>
  <si>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</si>
  <si>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</si>
  <si>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</si>
  <si>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</si>
  <si>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</si>
  <si>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</si>
  <si>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</si>
  <si>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</si>
  <si>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</si>
  <si>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</si>
  <si>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</si>
  <si>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</si>
  <si>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</si>
  <si>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</si>
  <si>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</si>
  <si>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</si>
  <si>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</si>
  <si>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</si>
  <si>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</si>
  <si>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</si>
  <si>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</si>
  <si>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</si>
  <si>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</si>
  <si>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</si>
  <si>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</si>
  <si>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</si>
  <si>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</si>
  <si>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</si>
  <si>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</si>
  <si>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</si>
  <si>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</si>
  <si>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</si>
  <si>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</si>
  <si>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</si>
  <si>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</si>
  <si>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</si>
  <si>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</si>
  <si>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</si>
  <si>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</si>
  <si>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</si>
  <si>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</si>
  <si>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</si>
  <si>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</si>
  <si>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</si>
  <si>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</si>
  <si>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</si>
  <si>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</si>
  <si>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</si>
  <si>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</si>
  <si>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</si>
  <si>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</si>
  <si>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</si>
  <si>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</si>
  <si>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</si>
  <si>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</si>
  <si>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</si>
  <si>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</si>
  <si>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</si>
  <si>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</si>
  <si>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</si>
  <si>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</si>
  <si>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</si>
  <si>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</si>
  <si>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</si>
  <si>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</si>
  <si>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</si>
  <si>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</si>
  <si>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</si>
  <si>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</si>
  <si>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</si>
  <si>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</si>
  <si>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</si>
  <si>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</si>
  <si>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</si>
  <si>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</si>
  <si>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</si>
  <si>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</si>
  <si>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</si>
  <si>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</si>
  <si>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</si>
  <si>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</si>
  <si>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</si>
  <si>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</si>
  <si>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</si>
  <si>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</si>
  <si>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</si>
  <si>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</si>
  <si>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</si>
  <si>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</si>
  <si>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</si>
  <si>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</si>
  <si>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</si>
  <si>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</si>
  <si>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</si>
  <si>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</si>
  <si>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</si>
  <si>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</si>
  <si>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</si>
  <si>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</si>
  <si>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</si>
  <si>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</si>
  <si>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</si>
  <si>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</si>
  <si>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</si>
  <si>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</si>
  <si>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</si>
  <si>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</si>
  <si>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</si>
  <si>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</si>
  <si>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</si>
  <si>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</si>
  <si>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</si>
  <si>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</si>
  <si>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</si>
  <si>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</si>
  <si>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</si>
  <si>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</si>
  <si>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</si>
  <si>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</si>
  <si>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</si>
  <si>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</si>
  <si>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</si>
  <si>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</si>
  <si>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</si>
  <si>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</si>
  <si>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</si>
  <si>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</si>
  <si>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</si>
  <si>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</si>
  <si>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</si>
  <si>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</si>
  <si>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</si>
  <si>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</si>
  <si>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</si>
  <si>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</si>
  <si>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</si>
  <si>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</si>
  <si>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</si>
  <si>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</si>
  <si>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</si>
  <si>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</si>
  <si>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</si>
  <si>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</si>
  <si>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</si>
  <si>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</si>
  <si>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</si>
  <si>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</si>
  <si>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</si>
  <si>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</si>
  <si>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</si>
  <si>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</si>
  <si>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</si>
  <si>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</si>
  <si>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</si>
  <si>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</si>
  <si>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</si>
  <si>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</si>
  <si>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</si>
  <si>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</si>
  <si>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</si>
  <si>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</si>
  <si>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</si>
  <si>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</si>
  <si>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</si>
  <si>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</si>
  <si>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</si>
  <si>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</si>
  <si>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</si>
  <si>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</si>
  <si>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</si>
  <si>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</si>
  <si>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</si>
  <si>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</si>
  <si>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</si>
  <si>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</si>
  <si>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</si>
  <si>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</si>
  <si>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</si>
  <si>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</si>
  <si>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</si>
  <si>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</si>
  <si>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</si>
  <si>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</si>
  <si>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</si>
  <si>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</si>
  <si>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</si>
  <si>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</si>
  <si>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</si>
  <si>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</si>
  <si>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</si>
  <si>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</si>
  <si>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</si>
  <si>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</si>
  <si>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</si>
  <si>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</si>
  <si>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</si>
  <si>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</si>
  <si>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</si>
  <si>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</si>
  <si>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</si>
  <si>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</si>
  <si>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</si>
  <si>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</si>
  <si>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</si>
  <si>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</si>
  <si>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</si>
  <si>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</si>
  <si>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</si>
  <si>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</si>
  <si>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</si>
  <si>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</si>
  <si>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</si>
  <si>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</si>
  <si>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</si>
  <si>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</si>
  <si>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</si>
  <si>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</si>
  <si>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</si>
  <si>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</si>
  <si>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</si>
  <si>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</si>
  <si>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</si>
  <si>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</si>
  <si>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</si>
  <si>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</si>
  <si>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</si>
  <si>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</si>
  <si>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</si>
  <si>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</si>
  <si>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</si>
  <si>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</si>
  <si>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</si>
  <si>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</si>
  <si>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</si>
  <si>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</si>
  <si>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</si>
  <si>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</si>
  <si>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</si>
  <si>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</si>
  <si>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</si>
  <si>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</si>
  <si>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</si>
  <si>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</si>
  <si>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</si>
  <si>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</si>
  <si>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</si>
  <si>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</si>
  <si>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</si>
  <si>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</si>
  <si>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</si>
  <si>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</si>
  <si>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</si>
  <si>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</si>
  <si>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</si>
  <si>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</si>
  <si>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</si>
  <si>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</si>
  <si>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</si>
  <si>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</si>
  <si>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</si>
  <si>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</si>
  <si>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</si>
  <si>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</si>
  <si>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</si>
  <si>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</si>
  <si>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</si>
  <si>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</si>
  <si>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</si>
  <si>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</si>
  <si>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</si>
  <si>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</si>
  <si>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</si>
  <si>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</si>
  <si>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</si>
  <si>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</si>
  <si>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</si>
  <si>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</si>
  <si>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</si>
  <si>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</si>
  <si>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</si>
  <si>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</si>
  <si>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</si>
  <si>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</si>
  <si>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</si>
  <si>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</si>
  <si>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</si>
  <si>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</si>
  <si>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</si>
  <si>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</si>
  <si>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</si>
  <si>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</si>
  <si>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</si>
  <si>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</si>
  <si>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</si>
  <si>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</si>
  <si>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</si>
  <si>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</si>
  <si>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</si>
  <si>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</si>
  <si>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</si>
  <si>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</si>
  <si>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</si>
  <si>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</si>
  <si>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</si>
  <si>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</si>
  <si>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</si>
  <si>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</si>
  <si>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</si>
  <si>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</si>
  <si>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</si>
  <si>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</si>
  <si>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</si>
  <si>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</si>
  <si>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</si>
  <si>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</si>
  <si>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</si>
  <si>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</si>
  <si>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</si>
  <si>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</si>
  <si>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</si>
  <si>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</si>
  <si>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</si>
  <si>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</si>
  <si>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</si>
  <si>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</si>
  <si>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</si>
  <si>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</si>
  <si>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</si>
  <si>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</si>
  <si>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</si>
  <si>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</si>
  <si>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</si>
  <si>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</si>
  <si>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</si>
  <si>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</si>
  <si>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</si>
  <si>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</si>
  <si>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</si>
  <si>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</si>
  <si>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</si>
  <si>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</si>
  <si>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</si>
  <si>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</si>
  <si>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</si>
  <si>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</si>
  <si>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</si>
  <si>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</si>
  <si>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</si>
  <si>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</si>
  <si>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</si>
  <si>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</si>
  <si>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</si>
  <si>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</si>
  <si>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</si>
  <si>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</si>
  <si>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</si>
  <si>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</si>
  <si>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</si>
  <si>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</si>
  <si>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</si>
  <si>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</si>
  <si>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</si>
  <si>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</si>
  <si>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</si>
  <si>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</si>
  <si>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</si>
  <si>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</si>
  <si>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</si>
  <si>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</si>
  <si>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</si>
  <si>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</si>
  <si>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</si>
  <si>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</si>
  <si>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</si>
  <si>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</si>
  <si>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</si>
  <si>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</si>
  <si>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</si>
  <si>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</si>
  <si>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</si>
  <si>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</si>
  <si>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</si>
  <si>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</si>
  <si>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</si>
  <si>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</si>
  <si>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</si>
  <si>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</si>
  <si>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</si>
  <si>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</si>
  <si>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</si>
  <si>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</si>
  <si>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</si>
  <si>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</si>
  <si>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</si>
  <si>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</si>
  <si>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</si>
  <si>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</si>
  <si>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</si>
  <si>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</si>
  <si>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</si>
  <si>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</si>
  <si>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</si>
  <si>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</si>
  <si>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</si>
  <si>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</si>
  <si>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</si>
  <si>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</si>
  <si>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</si>
  <si>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</si>
  <si>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</si>
  <si>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</si>
  <si>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</si>
  <si>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</si>
  <si>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</si>
  <si>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</si>
  <si>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</si>
  <si>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</si>
  <si>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</si>
  <si>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</si>
  <si>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</si>
  <si>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</si>
  <si>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</si>
  <si>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</si>
  <si>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</si>
  <si>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</si>
  <si>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</si>
  <si>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</si>
  <si>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</si>
  <si>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</si>
  <si>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</si>
  <si>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</si>
  <si>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</si>
  <si>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</si>
  <si>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</si>
  <si>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</si>
  <si>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</si>
  <si>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</si>
  <si>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</si>
  <si>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</si>
  <si>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</si>
  <si>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</si>
  <si>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</si>
  <si>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</si>
  <si>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</si>
  <si>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</si>
  <si>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</si>
  <si>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</si>
  <si>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</si>
  <si>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</si>
  <si>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</si>
  <si>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</si>
  <si>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</si>
  <si>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</si>
  <si>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</si>
  <si>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</si>
  <si>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</si>
  <si>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</si>
  <si>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</si>
  <si>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</si>
  <si>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</si>
  <si>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</si>
  <si>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</si>
  <si>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</si>
  <si>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</si>
  <si>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</si>
  <si>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</si>
  <si>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</si>
  <si>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</si>
  <si>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</si>
  <si>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</si>
  <si>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</si>
  <si>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</si>
  <si>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</si>
  <si>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</si>
  <si>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</si>
  <si>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</si>
  <si>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</si>
  <si>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</si>
  <si>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</si>
  <si>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</si>
  <si>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</si>
  <si>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</si>
  <si>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</si>
  <si>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</si>
  <si>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</si>
  <si>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</si>
  <si>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</si>
  <si>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</si>
  <si>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</si>
  <si>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</si>
  <si>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</si>
  <si>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</si>
  <si>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</si>
  <si>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</si>
  <si>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</si>
  <si>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</si>
  <si>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</si>
  <si>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</si>
  <si>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</si>
  <si>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</si>
  <si>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</si>
  <si>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</si>
  <si>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</si>
  <si>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</si>
  <si>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</si>
  <si>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</si>
  <si>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</si>
  <si>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</si>
  <si>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</si>
  <si>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</si>
  <si>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</si>
  <si>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</si>
  <si>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</si>
  <si>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</si>
  <si>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</si>
  <si>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</si>
  <si>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</si>
  <si>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</si>
  <si>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</si>
  <si>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</si>
  <si>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</si>
  <si>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</si>
  <si>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</si>
  <si>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</si>
  <si>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</si>
  <si>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</si>
  <si>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</si>
  <si>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</si>
  <si>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</si>
  <si>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</si>
  <si>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</si>
  <si>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</si>
  <si>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</si>
  <si>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</si>
  <si>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</si>
  <si>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</si>
  <si>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</si>
  <si>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</si>
  <si>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</si>
  <si>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</si>
  <si>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</si>
  <si>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</si>
  <si>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</si>
  <si>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</si>
  <si>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</si>
  <si>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</si>
  <si>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</si>
  <si>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</si>
  <si>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</si>
  <si>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</si>
  <si>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</si>
  <si>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</si>
  <si>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</si>
  <si>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</si>
  <si>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</si>
  <si>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</si>
  <si>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</si>
  <si>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</si>
  <si>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</si>
  <si>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</si>
  <si>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</si>
  <si>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</si>
  <si>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</si>
  <si>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</si>
  <si>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</si>
  <si>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</si>
  <si>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</si>
  <si>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</si>
  <si>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</si>
  <si>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</si>
  <si>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</si>
  <si>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</si>
  <si>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</si>
  <si>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</si>
  <si>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</si>
  <si>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</si>
  <si>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</si>
  <si>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</si>
  <si>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</si>
  <si>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</si>
  <si>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</si>
  <si>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</si>
  <si>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</si>
  <si>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</si>
  <si>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</si>
  <si>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</si>
  <si>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</si>
  <si>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</si>
  <si>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</si>
  <si>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</si>
  <si>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</si>
  <si>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</si>
  <si>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</si>
  <si>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</si>
  <si>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</si>
  <si>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</si>
  <si>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</si>
  <si>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</si>
  <si>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</si>
  <si>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</si>
  <si>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</si>
  <si>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</si>
  <si>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</si>
  <si>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</si>
  <si>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</si>
  <si>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</si>
  <si>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</si>
  <si>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</si>
  <si>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</si>
  <si>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</si>
  <si>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</si>
  <si>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</si>
  <si>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</si>
  <si>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</si>
  <si>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</si>
  <si>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</si>
  <si>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</si>
  <si>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</si>
  <si>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</si>
  <si>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</si>
  <si>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</si>
  <si>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</si>
  <si>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</si>
  <si>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</si>
  <si>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</si>
  <si>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</si>
  <si>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</si>
  <si>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</si>
  <si>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</si>
  <si>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</si>
  <si>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</si>
  <si>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</si>
  <si>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</si>
  <si>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</si>
  <si>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</si>
  <si>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</si>
  <si>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</si>
  <si>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</si>
  <si>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</si>
  <si>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</si>
  <si>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</si>
  <si>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</si>
  <si>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</si>
  <si>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</si>
  <si>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</si>
  <si>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</si>
  <si>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</si>
  <si>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</si>
  <si>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</si>
  <si>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</si>
  <si>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</si>
  <si>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</si>
  <si>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</si>
  <si>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</si>
  <si>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</si>
  <si>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</si>
  <si>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</si>
  <si>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</si>
  <si>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</si>
  <si>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</si>
  <si>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</si>
  <si>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</si>
  <si>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</si>
  <si>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</si>
  <si>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</si>
  <si>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</si>
  <si>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</si>
  <si>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</si>
  <si>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</si>
  <si>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</si>
  <si>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</si>
  <si>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</si>
  <si>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</si>
  <si>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</si>
  <si>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</si>
  <si>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</si>
  <si>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</si>
  <si>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</si>
  <si>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</si>
  <si>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</si>
  <si>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</si>
  <si>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</si>
  <si>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</si>
  <si>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</si>
  <si>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</si>
  <si>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</si>
  <si>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</si>
  <si>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</si>
  <si>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</si>
  <si>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</si>
  <si>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</si>
  <si>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</si>
  <si>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</si>
  <si>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</si>
  <si>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</si>
  <si>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</si>
  <si>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</si>
  <si>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</si>
  <si>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</si>
  <si>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</si>
  <si>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</si>
  <si>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</si>
  <si>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</si>
  <si>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</si>
  <si>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</si>
  <si>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</si>
  <si>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</si>
  <si>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</si>
  <si>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</si>
  <si>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</si>
  <si>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</si>
  <si>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</si>
  <si>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</si>
  <si>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</si>
  <si>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</si>
  <si>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</si>
  <si>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</si>
  <si>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</si>
  <si>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</si>
  <si>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</si>
  <si>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</si>
  <si>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</si>
  <si>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</si>
  <si>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</si>
  <si>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</si>
  <si>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</si>
  <si>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</si>
  <si>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</si>
  <si>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</si>
  <si>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</si>
  <si>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</si>
  <si>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</si>
  <si>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</si>
  <si>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</si>
  <si>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</si>
  <si>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</si>
  <si>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</si>
  <si>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</si>
  <si>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</si>
  <si>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</si>
  <si>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</si>
  <si>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</si>
  <si>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</si>
  <si>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</si>
  <si>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</si>
  <si>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</si>
  <si>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</si>
  <si>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</si>
  <si>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</si>
  <si>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</si>
  <si>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</si>
  <si>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</si>
  <si>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</si>
  <si>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</si>
  <si>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</si>
  <si>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</si>
  <si>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</si>
  <si>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</si>
  <si>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</si>
  <si>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</si>
  <si>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</si>
  <si>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</si>
  <si>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</si>
  <si>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</si>
  <si>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</si>
  <si>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</si>
  <si>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</si>
  <si>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</si>
  <si>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</si>
  <si>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</si>
  <si>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</si>
  <si>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</si>
  <si>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</si>
  <si>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</si>
  <si>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</si>
  <si>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</si>
  <si>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</si>
  <si>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</si>
  <si>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</si>
  <si>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</si>
  <si>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</si>
  <si>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</si>
  <si>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</si>
  <si>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</si>
  <si>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</si>
  <si>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</si>
  <si>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</si>
  <si>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</si>
  <si>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</si>
  <si>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</si>
  <si>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</si>
  <si>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</si>
  <si>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</si>
  <si>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</si>
  <si>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</si>
  <si>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</si>
  <si>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</si>
  <si>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</si>
  <si>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</si>
  <si>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</si>
  <si>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</si>
  <si>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</si>
  <si>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</si>
  <si>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</si>
  <si>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</si>
  <si>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</si>
  <si>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</si>
  <si>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</si>
  <si>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</si>
  <si>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</si>
  <si>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</si>
  <si>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</si>
  <si>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</si>
  <si>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</si>
  <si>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</si>
  <si>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</si>
  <si>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</si>
  <si>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</si>
  <si>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</si>
  <si>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</si>
  <si>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</si>
  <si>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</si>
  <si>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</si>
  <si>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</si>
  <si>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</si>
  <si>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</si>
  <si>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</si>
  <si>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</si>
  <si>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</si>
  <si>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</si>
  <si>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</si>
  <si>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</si>
  <si>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</si>
  <si>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</si>
  <si>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</si>
  <si>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</si>
  <si>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</si>
  <si>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</si>
  <si>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</si>
  <si>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</si>
  <si>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</si>
  <si>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</si>
  <si>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</si>
  <si>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</si>
  <si>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</si>
  <si>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</si>
  <si>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</si>
  <si>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</si>
  <si>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</si>
  <si>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</si>
  <si>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</si>
  <si>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</si>
  <si>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</si>
  <si>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</si>
  <si>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</si>
  <si>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</si>
  <si>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</si>
  <si>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</si>
  <si>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</si>
  <si>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</si>
  <si>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</si>
  <si>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</si>
  <si>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</si>
  <si>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</si>
  <si>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</si>
  <si>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</si>
  <si>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</si>
  <si>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</si>
  <si>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IZVOR 83                Namjenski primici od inozemnog zaduživanja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</si>
  <si>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</si>
  <si>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</si>
  <si>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</si>
  <si>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</si>
  <si>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</si>
  <si>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</si>
  <si>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</si>
  <si>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</si>
  <si>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</si>
  <si>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</si>
  <si>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</si>
  <si>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</si>
  <si>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</si>
  <si>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</si>
  <si>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</si>
  <si>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</si>
  <si>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</si>
  <si>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</si>
  <si>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</si>
  <si>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</si>
  <si>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</si>
  <si>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</si>
  <si>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>Predujam za 2.projekt tehnologijskog razvoja IBRD P4640</t>
  </si>
  <si>
    <t>2.projekt tehnologijskog razvoja IBRD 82580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</si>
  <si>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</si>
  <si>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</si>
  <si>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</si>
  <si>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</si>
  <si>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</si>
  <si>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</si>
  <si>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</si>
  <si>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</si>
  <si>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</si>
  <si>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</si>
  <si>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</si>
  <si>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</si>
  <si>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</si>
  <si>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</si>
  <si>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</si>
  <si>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</si>
  <si>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</si>
  <si>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</si>
  <si>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</si>
  <si>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</si>
  <si>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</si>
  <si>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</si>
  <si>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</si>
  <si>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</si>
  <si>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</si>
  <si>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</si>
  <si>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</si>
  <si>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</si>
  <si>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</si>
  <si>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</si>
  <si>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</si>
  <si>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</si>
  <si>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</si>
  <si>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</si>
  <si>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</si>
  <si>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</si>
  <si>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</si>
  <si>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</si>
  <si>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</si>
  <si>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</si>
  <si>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</si>
  <si>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</si>
  <si>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</si>
  <si>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</si>
  <si>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</si>
  <si>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</si>
  <si>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</si>
  <si>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</si>
  <si>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</si>
  <si>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</si>
  <si>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</si>
  <si>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</si>
  <si>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</si>
  <si>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</si>
  <si>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</si>
  <si>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</si>
  <si>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</si>
  <si>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</si>
  <si>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</si>
  <si>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</si>
  <si>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</si>
  <si>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</si>
  <si>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</si>
  <si>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</si>
  <si>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</si>
  <si>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</si>
  <si>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</si>
  <si>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</si>
  <si>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</si>
  <si>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</si>
  <si>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</si>
  <si>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</si>
  <si>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</si>
  <si>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</si>
  <si>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</si>
  <si>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</si>
  <si>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</si>
  <si>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</si>
  <si>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</si>
  <si>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</si>
  <si>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</si>
  <si>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</si>
  <si>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</si>
  <si>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</si>
  <si>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</si>
  <si>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</si>
  <si>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</si>
  <si>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</si>
  <si>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</si>
  <si>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</si>
  <si>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</si>
  <si>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</si>
  <si>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</si>
  <si>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</si>
  <si>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</si>
  <si>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</si>
  <si>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</si>
  <si>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</si>
  <si>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</si>
  <si>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</si>
  <si>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</si>
  <si>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</si>
  <si>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</si>
  <si>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</si>
  <si>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</si>
  <si>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</si>
  <si>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</si>
  <si>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</si>
  <si>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</si>
  <si>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</si>
  <si>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</si>
  <si>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</si>
  <si>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</si>
  <si>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</si>
  <si>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</si>
  <si>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</si>
  <si>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</si>
  <si>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</si>
  <si>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</si>
  <si>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</si>
  <si>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</si>
  <si>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</si>
  <si>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</si>
  <si>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</si>
  <si>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</si>
  <si>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</si>
  <si>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</si>
  <si>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</si>
  <si>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</si>
  <si>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</si>
  <si>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</si>
  <si>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</si>
  <si>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</si>
  <si>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</si>
  <si>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</si>
  <si>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</si>
  <si>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</si>
  <si>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</si>
  <si>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</si>
  <si>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</si>
  <si>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</si>
  <si>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</si>
  <si>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</si>
  <si>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</si>
  <si>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</si>
  <si>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</si>
  <si>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</si>
  <si>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</si>
  <si>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</si>
  <si>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</si>
  <si>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</si>
  <si>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</si>
  <si>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</si>
  <si>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</si>
  <si>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</si>
  <si>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</si>
  <si>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</si>
  <si>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</si>
  <si>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</si>
  <si>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</si>
  <si>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</si>
  <si>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</si>
  <si>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</si>
  <si>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</si>
  <si>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</si>
  <si>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</si>
  <si>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</si>
  <si>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</si>
  <si>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</si>
  <si>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</si>
  <si>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</si>
  <si>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</si>
  <si>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</si>
  <si>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</si>
  <si>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</si>
  <si>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</si>
  <si>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</si>
  <si>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</si>
  <si>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</si>
  <si>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</si>
  <si>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</si>
  <si>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</si>
  <si>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</si>
  <si>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</si>
  <si>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</si>
  <si>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</si>
  <si>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</si>
  <si>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</si>
  <si>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</si>
  <si>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</si>
  <si>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</si>
  <si>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</si>
  <si>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</si>
  <si>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</si>
  <si>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</si>
  <si>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</si>
  <si>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</si>
  <si>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</si>
  <si>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</si>
  <si>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</si>
  <si>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</si>
  <si>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</si>
  <si>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</si>
  <si>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</si>
  <si>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</si>
  <si>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</si>
  <si>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</si>
  <si>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</si>
  <si>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</si>
  <si>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</si>
  <si>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</si>
  <si>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</si>
  <si>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</si>
  <si>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</si>
  <si>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</si>
  <si>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</si>
  <si>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</si>
  <si>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</si>
  <si>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</si>
  <si>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</si>
  <si>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</si>
  <si>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</si>
  <si>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</si>
  <si>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</si>
  <si>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</si>
  <si>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</si>
  <si>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</si>
  <si>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</si>
  <si>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</si>
  <si>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</si>
  <si>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</si>
  <si>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</si>
  <si>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</si>
  <si>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</si>
  <si>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</si>
  <si>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</si>
  <si>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</si>
  <si>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</si>
  <si>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</si>
  <si>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</si>
  <si>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</si>
  <si>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</si>
  <si>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</si>
  <si>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</si>
  <si>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</si>
  <si>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</si>
  <si>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</si>
  <si>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</si>
  <si>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</si>
  <si>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</si>
  <si>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</si>
  <si>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</si>
  <si>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</si>
  <si>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</si>
  <si>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</si>
  <si>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</si>
  <si>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</si>
  <si>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</si>
  <si>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</si>
  <si>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</si>
  <si>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</si>
  <si>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</si>
  <si>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</si>
  <si>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</si>
  <si>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</si>
  <si>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</si>
  <si>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</si>
  <si>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</si>
  <si>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</si>
  <si>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</si>
  <si>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</si>
  <si>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</si>
  <si>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</si>
  <si>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</si>
  <si>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</si>
  <si>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</si>
  <si>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</si>
  <si>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</si>
  <si>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</si>
  <si>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</si>
  <si>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</si>
  <si>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</si>
  <si>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</si>
  <si>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</si>
  <si>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</si>
  <si>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</si>
  <si>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</si>
  <si>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</si>
  <si>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</si>
  <si>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</si>
  <si>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</si>
  <si>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</si>
  <si>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</si>
  <si>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</si>
  <si>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</si>
  <si>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</si>
  <si>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</si>
  <si>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</si>
  <si>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</si>
  <si>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</si>
  <si>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</si>
  <si>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</si>
  <si>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</si>
  <si>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</si>
  <si>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</si>
  <si>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</si>
  <si>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</si>
  <si>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</si>
  <si>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</si>
  <si>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</si>
  <si>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</si>
  <si>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</si>
  <si>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</si>
  <si>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</si>
  <si>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</si>
  <si>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</si>
  <si>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</si>
  <si>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</si>
  <si>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</si>
  <si>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</si>
  <si>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</si>
  <si>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</si>
  <si>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</si>
  <si>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</si>
  <si>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</si>
  <si>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</si>
  <si>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</si>
  <si>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</si>
  <si>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</si>
  <si>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</si>
  <si>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</si>
  <si>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</si>
  <si>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</si>
  <si>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</si>
  <si>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</si>
  <si>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</si>
  <si>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</si>
  <si>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</si>
  <si>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</si>
  <si>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</si>
  <si>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</si>
  <si>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</si>
  <si>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</si>
  <si>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</si>
  <si>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</si>
  <si>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</si>
  <si>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</si>
  <si>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</si>
  <si>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</si>
  <si>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</si>
  <si>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</si>
  <si>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</si>
  <si>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</si>
  <si>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</si>
  <si>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</si>
  <si>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</si>
  <si>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</si>
  <si>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</si>
  <si>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</si>
  <si>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</si>
  <si>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</si>
  <si>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</si>
  <si>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</si>
  <si>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</si>
  <si>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</si>
  <si>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</si>
  <si>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</si>
  <si>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</si>
  <si>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</si>
  <si>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</si>
  <si>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</si>
  <si>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</si>
  <si>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</si>
  <si>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</si>
  <si>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</si>
  <si>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</si>
  <si>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</si>
  <si>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</si>
  <si>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</si>
  <si>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</si>
  <si>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</si>
  <si>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</si>
  <si>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</si>
  <si>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</si>
  <si>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</si>
  <si>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</si>
  <si>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</si>
  <si>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</si>
  <si>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</si>
  <si>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</si>
  <si>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</si>
  <si>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</si>
  <si>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</si>
  <si>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</si>
  <si>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</si>
  <si>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</si>
  <si>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</si>
  <si>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</si>
  <si>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</si>
  <si>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</si>
  <si>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</si>
  <si>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</si>
  <si>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</si>
  <si>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</si>
  <si>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</si>
  <si>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</si>
  <si>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</si>
  <si>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</si>
  <si>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</si>
  <si>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</si>
  <si>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</si>
  <si>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</si>
  <si>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</si>
  <si>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</si>
  <si>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</si>
  <si>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</si>
  <si>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</si>
  <si>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</si>
  <si>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</si>
  <si>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</si>
  <si>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</si>
  <si>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</si>
  <si>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</si>
  <si>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</si>
  <si>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</si>
  <si>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</si>
  <si>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</si>
  <si>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</si>
  <si>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</si>
  <si>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</si>
  <si>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</si>
  <si>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</si>
  <si>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</si>
  <si>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</si>
  <si>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</si>
  <si>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</si>
  <si>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</si>
  <si>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</si>
  <si>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</si>
  <si>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</si>
  <si>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</si>
  <si>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</si>
  <si>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</si>
  <si>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</si>
  <si>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</si>
  <si>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</si>
  <si>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</si>
  <si>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</si>
  <si>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</si>
  <si>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</si>
  <si>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</si>
  <si>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</si>
  <si>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</si>
  <si>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</si>
  <si>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</si>
  <si>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</si>
  <si>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</si>
  <si>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</si>
  <si>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</si>
  <si>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</si>
  <si>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</si>
  <si>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</si>
  <si>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</si>
  <si>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K622128.005</t>
  </si>
  <si>
    <t>K622128.006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</si>
  <si>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</si>
  <si>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</si>
  <si>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</si>
  <si>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</si>
  <si>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</si>
  <si>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</si>
  <si>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</si>
  <si>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</si>
  <si>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</si>
  <si>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</si>
  <si>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</si>
  <si>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</si>
  <si>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</si>
  <si>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</si>
  <si>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</si>
  <si>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</si>
  <si>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</si>
  <si>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</si>
  <si>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</si>
  <si>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</si>
  <si>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</si>
  <si>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</si>
  <si>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</si>
  <si>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</si>
  <si>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</si>
  <si>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</si>
  <si>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</si>
  <si>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</si>
  <si>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</si>
  <si>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</si>
  <si>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</si>
  <si>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</si>
  <si>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</si>
  <si>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</si>
  <si>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A768056</t>
  </si>
  <si>
    <t>SUDJELOVANJE U INTEREG PROJEKTU - RESINFRA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</si>
  <si>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</si>
  <si>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</si>
  <si>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</si>
  <si>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</si>
  <si>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</si>
  <si>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</si>
  <si>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</si>
  <si>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T733059</t>
  </si>
  <si>
    <t>PREDSJEDANJE REPUBLIKE HRVATSKE EUROPSKOM UNIJOM</t>
  </si>
  <si>
    <t>A679079</t>
  </si>
  <si>
    <t>SVEUČILIŠTE U ZAGREBU - BICRO BIOCentar</t>
  </si>
  <si>
    <t>A679114</t>
  </si>
  <si>
    <t>REDOVNA DJELATNOST SVEUČILIŠTA U SLAVONSKOM BRODU  (IZ EVIDENCIJSKIH PRIHODA)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</si>
  <si>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</si>
  <si>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</si>
  <si>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</si>
  <si>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</si>
  <si>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K733054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</si>
  <si>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</si>
  <si>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</si>
  <si>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</si>
  <si>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</si>
  <si>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</si>
  <si>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</si>
  <si>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</si>
  <si>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</si>
  <si>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</si>
  <si>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</si>
  <si>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</si>
  <si>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</si>
  <si>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</si>
  <si>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</si>
  <si>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</si>
  <si>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</si>
  <si>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</si>
  <si>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</si>
  <si>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</si>
  <si>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</si>
  <si>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</si>
  <si>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</si>
  <si>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</si>
  <si>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</si>
  <si>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</si>
  <si>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</si>
  <si>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</si>
  <si>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</si>
  <si>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</si>
  <si>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</si>
  <si>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</si>
  <si>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</si>
  <si>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</si>
  <si>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</si>
  <si>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</si>
  <si>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</si>
  <si>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</si>
  <si>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</si>
  <si>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</si>
  <si>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</si>
  <si>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</si>
  <si>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Povrat zajmova danih neprofitnim organizacijama, građanima i kućanstvima - namjenski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</si>
  <si>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</si>
  <si>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</si>
  <si>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</si>
  <si>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</si>
  <si>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</si>
  <si>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</si>
  <si>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Tekuće pomoći od institucija i tijela EU - Fond solidarnosti EU</t>
  </si>
  <si>
    <t>Fond solidarnosti EU</t>
  </si>
  <si>
    <t>Kapitalne pomoći od institucija i tijela EU - 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</si>
  <si>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</si>
  <si>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</si>
  <si>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</si>
  <si>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</si>
  <si>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 xml:space="preserve">ERASMUS+ TRACER </t>
  </si>
  <si>
    <t>A768064</t>
  </si>
  <si>
    <t>Primici od prodaje dionica i udjela u glavnici kreditnih i ostalih fin.institucija izvan jav.sektora</t>
  </si>
  <si>
    <t>Osigurano u 2020.</t>
  </si>
  <si>
    <t>Prijedlog za 
2023.</t>
  </si>
  <si>
    <t>Godina</t>
  </si>
  <si>
    <t>PRIJEDLOG FINANCIJSKOG PLANA ZA 2021. I PROJEKCIJA PLANA ZA 2022. I 2023. GODINU</t>
  </si>
  <si>
    <t>Prijedlog plana 
za 2021.</t>
  </si>
  <si>
    <t>Projekcija plana
za 2022.</t>
  </si>
  <si>
    <t>Projekcija plana 
za 2023.</t>
  </si>
  <si>
    <t>FINANCIJSKI PLAN RASHODA I IZDATAKA ZA 2021. GODINU I PROJEKCIJE ZA 2022. I 2023. GODINU</t>
  </si>
  <si>
    <t>2023.</t>
  </si>
  <si>
    <t>SVEUČILIŠTE J.J.STROSSMAYERA U OSIJEKU - FAKULTET ELEKTROTEHNIKE, RAČUNARSTVA I INFORMACIJSKIH TEHNOLOGIJA OSIJEK</t>
  </si>
  <si>
    <t>SVEUČILIŠTE J.J STROSSMAYERA U OSIJEKU - GRAĐEVINSKI I ARHITEKTONSKI FAKULTET OSIJEK</t>
  </si>
  <si>
    <t>ULICA VLADIMIRA PRELOGA 3</t>
  </si>
  <si>
    <t>SVEUČILIŠTE J.J STROSSMAYERA U OSIJEKU - FAKULTET AGROBIOTEHNIČKIH ZNANOSTI OSIJEK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</si>
  <si>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</si>
  <si>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</si>
  <si>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</si>
  <si>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</si>
  <si>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</si>
  <si>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</si>
  <si>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</si>
  <si>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</si>
  <si>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</si>
  <si>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</si>
  <si>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</si>
  <si>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</si>
  <si>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</si>
  <si>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</si>
  <si>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</si>
  <si>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</si>
  <si>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SVETOŠIMUNSKA C. 25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</si>
  <si>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</si>
  <si>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</si>
  <si>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</si>
  <si>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</si>
  <si>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</si>
  <si>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</si>
  <si>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</si>
  <si>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</si>
  <si>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</si>
  <si>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</si>
  <si>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</si>
  <si>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2063 FAKULTET ORGANIZACIJE I INFORMATIKE U VARAŽDINU</t>
  </si>
  <si>
    <t>2102 SVEUČILIŠTE U ZAGREBU - GEOTEHNIČKI FAKULTET</t>
  </si>
  <si>
    <t>43749 MEĐIMURSKO VELEUČILIŠTE U ČAKOVCU</t>
  </si>
  <si>
    <t>2452 SVEUČILIŠTE J.J STROSSMAYERA U OSIJEKU</t>
  </si>
  <si>
    <t>2284 SVEUČILIŠTE J.J STROSSMAYERA U OSIJEKU - EKONOMSKI FAKULTET</t>
  </si>
  <si>
    <t>2313 SVEUČILIŠTE J.J.STROSSMAYERA U OSIJEKU - FAKULTET ELEKTROTEHNIKE, RAČUNARSTVA I INFORMACIJSKIH TEHNOLOGIJA OSIJEK</t>
  </si>
  <si>
    <t>2321 SVEUČILIŠTE J.J STROSSMAYERA U OSIJEKU - FILOZOFSKI FAKULTET</t>
  </si>
  <si>
    <t>2508 SVEUČILIŠTE J.J.STROSSMAYERA U OSIJEKU - GRADSKA I SVEUČILIŠNA KNJIŽNICA</t>
  </si>
  <si>
    <t>2250 SVEUČILIŠTE J.J STROSSMAYERA U OSIJEKU - GRAĐEVINSKI I ARHITEKTONSKI FAKULTET OSIJEK</t>
  </si>
  <si>
    <t>22849 SVEUČILIŠTE J.J STROSSMAYERA U OSIJEKU - MEDICINSKI FAKULTET</t>
  </si>
  <si>
    <t>2268 SVEUČILIŠTE J.J STROSSMAYERA U OSIJEKU - FAKULTET AGROBIOTEHNIČKIH ZNANOSTI OSIJEK</t>
  </si>
  <si>
    <t>2292 SVEUČILIŠTE J.J STROSSMAYERA U OSIJEKU - PRAVNI FAKULTET</t>
  </si>
  <si>
    <t>2276 SVEUČILIŠTE J.J STROSSMAYERA U OSIJEKU - PREHRAMBENO TEHNOLOŠKI FAKULTET</t>
  </si>
  <si>
    <t>22486 SVEUČILIŠTE J.J STROSSMAYERA U OSIJEKU - FAKULTET ZA ODGOJNE I OBRAZOVNE ZNANOSTI</t>
  </si>
  <si>
    <t>50215 SVEUČILIŠTE J.J.STROSSMAYERA U OSIJEKU - AKADEMIJA ZA UMJETNOST I KULTURU U OSIJEKU</t>
  </si>
  <si>
    <t>38479 SVEUČILIŠTE J.J.STROSSMAYERA U OSIJEKU - KATOLIČKI BOGOSLOVNI FAKULTET U ĐAKOVU</t>
  </si>
  <si>
    <t>49796 SVEUČILIŠTE J.J.STROSSMAYERA U OSIJEKU - FAKULTET ZA DENTALNU MEDICINU I ZDRAVSTVO</t>
  </si>
  <si>
    <t>51360 SVEUČILIŠTE U SLAVONSKOM BRODU</t>
  </si>
  <si>
    <t>42024 SVEUČILIŠTE JURJA DOBRILE U PULI</t>
  </si>
  <si>
    <t>48267 SVEUČILIŠTE SJEVER</t>
  </si>
  <si>
    <t>24141 SVEUČILIŠTE U DUBROVNIKU</t>
  </si>
  <si>
    <t>2444 SVEUČILIŠTE U RIJECI</t>
  </si>
  <si>
    <t>38454 SVEUČILIŠTE U RIJECI - AKADEMIJA PRIMJENJENIH UMJETNOSTI</t>
  </si>
  <si>
    <t>2186 SVEUČILIŠTE U RIJECI - EKONOMSKI FAKULTET</t>
  </si>
  <si>
    <t>2194 SVEUČILIŠTE U RIJECI - FAKULTET ZA MENADŽMENT U TURIZMU I UGOSTITELJSTVU</t>
  </si>
  <si>
    <t>22857 SVEUČILIŠTE U RIJECI - FILOZOFSKI FAKULTET</t>
  </si>
  <si>
    <t>2160 SVEUČILIŠTE U RIJECI - GRAĐEVINSKI FAKULTET</t>
  </si>
  <si>
    <t>2225 SVEUČILIŠTE U RIJECI - MEDICINSKI FAKULTET</t>
  </si>
  <si>
    <t>22568 SVEUČILIŠTE U RIJECI - POMORSKI FAKULTET</t>
  </si>
  <si>
    <t>2217 SVEUČILIŠTE U RIJECI - PRAVNI FAKULTET</t>
  </si>
  <si>
    <t>2493 SVEUČILIŠTE U RIJECI - SVEUČILIŠNA KNJIŽNICA</t>
  </si>
  <si>
    <t>2151 SVEUČILIŠTE U RIJECI - TEHNIČKI FAKULTET</t>
  </si>
  <si>
    <t>40947 SVEUČILIŠTE U RIJECI - UČITELJSKI FAKULTET</t>
  </si>
  <si>
    <t>48023 SVEUČILIŠTE U RIJECI - FAKULTET ZDRAVSTVENIH STUDIJA U RIJECI</t>
  </si>
  <si>
    <t>2469 SVEUČILIŠTE U SPLITU</t>
  </si>
  <si>
    <t>2372 SVEUČILIŠTE U SPLITU - EKONOMSKI FAKULTET</t>
  </si>
  <si>
    <t>2330 SVEUČILIŠTE U SPLITU - FAKULTET ELEKTROTEHNIKE, STROJARSTVA I BRODOGRADNJE</t>
  </si>
  <si>
    <t>22435 SVEUČILIŠTE U SPLITU - FILOZOFSKI FAKULTET</t>
  </si>
  <si>
    <t>2348 SVEUČILIŠTE U SPLITU - FAKULTET GRAĐEVINARSTVA, ARHITEKTURE I GEODEZIJE</t>
  </si>
  <si>
    <t>2356 SVEUČILIŠTE U SPLITU - KEMIJSKO-TEHNOLOŠKI FAKULTET</t>
  </si>
  <si>
    <t>43773 SVEUČILIŠTE U SPLITU - KINEZIOLOŠKI FAKULTET</t>
  </si>
  <si>
    <t>23368 SVEUČILIŠTE U SPLITU - KATOLIČKI BOGOSLOVNI FAKULTET</t>
  </si>
  <si>
    <t>22451 SVEUČILIŠTE U SPLITU - MEDICINSKI FAKULTET</t>
  </si>
  <si>
    <t>22460 SVEUČILIŠTE U SPLITU - POMORSKI FAKULTET</t>
  </si>
  <si>
    <t>2397 SVEUČILIŠTE U SPLITU - PRAVNI FAKULTET</t>
  </si>
  <si>
    <t>2410 SVEUČILIŠTE U SPLITU - PRIRODOSLOVNO - MATEMATIČKI FAKULTET</t>
  </si>
  <si>
    <t>2524 SVEUČILIŠTE U SPLITU - SVEUČILIŠNA KNJIŽNICA</t>
  </si>
  <si>
    <t>22478 SVEUČILIŠTE U SPLITU - UMJETNIČKA AKADEMIJA</t>
  </si>
  <si>
    <t>23815 SVEUČILIŠTE U ZADRU</t>
  </si>
  <si>
    <t>2436 SVEUČILIŠTE U ZAGREBU</t>
  </si>
  <si>
    <t>1923 SVEUČILIŠTE U ZAGREBU - AGRONOMSKI FAKULTET</t>
  </si>
  <si>
    <t>1974 SVEUČILIŠTE U ZAGREBU - AKADEMIJA DRAMSKE UMJETNOSTI</t>
  </si>
  <si>
    <t>1982 SVEUČILIŠTE U ZAGREBU - AKADEMIJA LIKOVNIH UMJETNOSTI</t>
  </si>
  <si>
    <t xml:space="preserve">1861 SVEUČILIŠTE U ZAGREBU - ARHITEKTONSKI FAKULTET </t>
  </si>
  <si>
    <t xml:space="preserve">1966 SVEUČILIŠTE U ZAGREBU - EDUKACIJSKO-REHABILITACIJSKI FAKULTET </t>
  </si>
  <si>
    <t>1931 SVEUČILIŠTE U ZAGREBU - EKONOMSKI FAKULTET</t>
  </si>
  <si>
    <t>1757 SVEUČILIŠTE U ZAGREBU - FAKULTET ELEKTROTEHNIKE I RAČUNARSTVA</t>
  </si>
  <si>
    <t>6154 SVEUČILIŠTE U ZAGREBU - FAKULTET FILOZOFIJE I RELIGIJSKIH ZNANOSTI</t>
  </si>
  <si>
    <t xml:space="preserve">2135 SVEUČILIŠTE U ZAGREBU - KATOLIČKI BOGOSLOVNI FAKULTET </t>
  </si>
  <si>
    <t>51191 SVEUČILIŠTE U ZAGREBU - FAKULTET HRVATSKIH STUDIJA</t>
  </si>
  <si>
    <t>1790 SVEUČILIŠTE U ZAGREBU - FAKULTET KEMIJSKOG INŽENJERSTVA I TEHNOLOGIJE</t>
  </si>
  <si>
    <t>1907 SVEUČILIŠTE U ZAGREBU - FAKULTET POLITIČKIH ZNANOSTI</t>
  </si>
  <si>
    <t>1812 SVEUČILIŠTE U ZAGREBU - FAKULTET PROMETNIH ZNANOSTI</t>
  </si>
  <si>
    <t>1829 SVEUČILIŠTE U ZAGREBU - FAKULTET STROJARSTVA I BRODOGRADNJE</t>
  </si>
  <si>
    <t xml:space="preserve">2014 SVEUČILIŠTE U ZAGREBU - FARMACEUTSKO-BIOKEMIJSKI FAKULTET </t>
  </si>
  <si>
    <t>1958 SVEUČILIŠTE U ZAGREBU - FILOZOFSKI FAKULTET</t>
  </si>
  <si>
    <t>1853 SVEUČILIŠTE U ZAGREBU - GEODETSKI FAKULTET</t>
  </si>
  <si>
    <t>1837 SVEUČILIŠTE U ZAGREBU - GRAĐEVINSKI FAKULTET</t>
  </si>
  <si>
    <t>2080 SVEUČILIŠTE U ZAGREBU - GRAFIČKI FAKULTET</t>
  </si>
  <si>
    <t>2006 SVEUČILIŠTE U ZAGREBU - KINEZIOLOŠKI FAKULTET</t>
  </si>
  <si>
    <t>1888 SVEUČILIŠTE U ZAGREBU - MEDICINSKI FAKULTET</t>
  </si>
  <si>
    <t>2071 SVEUČILIŠTE U ZAGREBU - METALURŠKI FAKULTET SISAK</t>
  </si>
  <si>
    <t>1999 SVEUČILIŠTE U ZAGREBU - MUZIČKA AKADEMIJA</t>
  </si>
  <si>
    <t>1915 SVEUČILIŠTE U ZAGREBU - PRAVNI FAKULTET</t>
  </si>
  <si>
    <t>1845 SVEUČILIŠTE U ZAGREBU - PREHRAMBENO BIOTEHNOLOŠKI FAKULTET</t>
  </si>
  <si>
    <t>1781 SVEUČILIŠTE U ZAGREBU - PRIRODOSLOVNO-MATEMATIČKI FAKULTET</t>
  </si>
  <si>
    <t>2047 SVEUČILIŠTE U ZAGREBU - RUDARSKO-GEOLOŠKO-NAFTNI FAKULTET</t>
  </si>
  <si>
    <t>1870 SVEUČILIŠTE U ZAGREBU - STOMATOLOŠKI FAKULTET</t>
  </si>
  <si>
    <t>1896 SVEUČILIŠTE U ZAGREBU - ŠUMARSKI FAKULTET</t>
  </si>
  <si>
    <t>1804 SVEUČILIŠTE U ZAGREBU - TEKSTILNO TEHNOLOŠKI FAKULTET</t>
  </si>
  <si>
    <t>1940 SVEUČILIŠTE U ZAGREBU - UČITELJSKI FAKULTET</t>
  </si>
  <si>
    <t>2022 SVEUČILIŠTE U ZAGREBU - VETERINARSKI FAKULTET</t>
  </si>
  <si>
    <t>22427 TEHNIČKO VELEUČILIŠTE U ZAGREBU</t>
  </si>
  <si>
    <t>38446 VELEUČILIŠTE LAVOSLAV RUŽIČKA U VUKOVARU</t>
  </si>
  <si>
    <t>38438 VELEUČILIŠTE MARKO MARULIĆ U KNINU</t>
  </si>
  <si>
    <t>41185 VELEUČILIŠTE NIKOLA TESLA U GOSPIĆU</t>
  </si>
  <si>
    <t>21053 VELEUČILIŠTE U KARLOVCU</t>
  </si>
  <si>
    <t>22398 VELEUČILIŠTE U POŽEGI</t>
  </si>
  <si>
    <t>22494 VELEUČILIŠTE U RIJECI</t>
  </si>
  <si>
    <t>22824 VELEUČILIŠTE U ŠIBENIKU</t>
  </si>
  <si>
    <t>50848 VELEUČILIŠTE HRVATSKO ZAGORJE KRAPINA</t>
  </si>
  <si>
    <t>42993 VISOKA ŠKOLA ZA MENEDŽMENT U TURIZMU I INFORMATICI</t>
  </si>
  <si>
    <t>22371 VISOKO GOSPODARSKO UČILIŠTE U KRIŽEVCIMA</t>
  </si>
  <si>
    <t>22832 ZDRAVSTVENO VELEUČILIŠTE</t>
  </si>
  <si>
    <t>2918 EKONOMSKI INSTITUT ZAGREB</t>
  </si>
  <si>
    <t>2934 HRVATSKI INSTITUT ZA POVIJEST</t>
  </si>
  <si>
    <t>2983 HRVATSKI VETERINARSKI INSTITUT</t>
  </si>
  <si>
    <t>3105 INSTITUT DRUŠTVENIH ZNANOSTI IVO PILAR</t>
  </si>
  <si>
    <t>3041 INSTITUT RUĐER BOŠKOVIĆ</t>
  </si>
  <si>
    <t>3113 INSTITUT ZA ANTROPOLOGIJU</t>
  </si>
  <si>
    <t>3121 INSTITUT ZA ARHEOLOGIJU</t>
  </si>
  <si>
    <t>3050 INSTITUT ZA DRUŠTVENA ISTRAŽIVANJA</t>
  </si>
  <si>
    <t>3084 INSTITUT ZA ETNOLOGIJU I FOLKLORISTIKU</t>
  </si>
  <si>
    <t>3092 INSTITUT ZA FILOZOFIJU</t>
  </si>
  <si>
    <t>2975 INSTITUT ZA FIZIKU</t>
  </si>
  <si>
    <t xml:space="preserve">22525 HRVATSKI GEOLOŠKI INSTITUT </t>
  </si>
  <si>
    <t>21061 INSTITUT ZA HRVATSKI JEZIK I JEZIKOSLOVLJE</t>
  </si>
  <si>
    <t>3025 INSTITUT ZA JADRANSKE KULTURE I MELIORACIJU KRŠA</t>
  </si>
  <si>
    <t>23286 INSTITUT ZA JAVNE FINANCIJE</t>
  </si>
  <si>
    <t>2959 INSTITUT ZA MEDICINSKA ISTRAŽIVANJA I MEDICINU RADA</t>
  </si>
  <si>
    <t>22621 INSTITUT ZA RAZVOJ I MEĐUNARODNE ODNOSE</t>
  </si>
  <si>
    <t>3009 INSTITUT ZA MIGRACIJE I NARODNOSTI</t>
  </si>
  <si>
    <t>2900 INSTITUT ZA OCEANOGRAFIJU I RIBARSTVO</t>
  </si>
  <si>
    <t>3076 INSTITUT ZA POLJOPRIVREDU I TURIZAM</t>
  </si>
  <si>
    <t>2942 INSTITUT ZA POVIJEST UMJETNOSTI</t>
  </si>
  <si>
    <t>3068 INSTITUT ZA TURIZAM</t>
  </si>
  <si>
    <t>2991 POLJOPRIVREDNI INSTITUT OSIJEK</t>
  </si>
  <si>
    <t>21070 STAROSLAVENSKI INSTITUT</t>
  </si>
  <si>
    <t>2967 HRVATSKI ŠUMARSKI INSTITUT</t>
  </si>
  <si>
    <t>6179 DRŽAVNI ZAVOD ZA INTELEKTUALNO VLASNIŠTVO</t>
  </si>
  <si>
    <t>21836 NACIONALNA I SVEUČILIŠNA KNJIŽNICA U ZAGREBU</t>
  </si>
  <si>
    <t>21852 HRVATSKA AKADEMSKA I ISTRAŽIVAČKA MREŽA - CARNET</t>
  </si>
  <si>
    <t>21869 LEKSIKOGRAFSKI ZAVOD MIROSLAV KRLEŽA</t>
  </si>
  <si>
    <t>23665 SVEUČILIŠTE U ZAGREBU - SVEUČILIŠNI RAČUNSKI CENTAR - SRCE</t>
  </si>
  <si>
    <t>23962 AGENCIJA ZA ODGOJ I OBRAZOVANJE</t>
  </si>
  <si>
    <t>38487 AGENCIJA ZA ZNANOST I VISOKO OBRAZOVANJE</t>
  </si>
  <si>
    <t>40883 NACIONALNI CENTAR ZA VANJSKO VREDNOVANJE OBRAZOVANJA</t>
  </si>
  <si>
    <t>43335 AGENCIJA ZA MOBILNOST I PROGRAME EUROPSKE UNIJE</t>
  </si>
  <si>
    <t>46173 AGENCIJA ZA STRUKOVNO OBRAZOVANJE I OBRAZOVANJE ODRASLIH</t>
  </si>
  <si>
    <t>1222 MINISTARSTVO ZNANOSTI I OBRAZOVANJA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</si>
  <si>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</si>
  <si>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</si>
  <si>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</si>
  <si>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</si>
  <si>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</si>
  <si>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</si>
  <si>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</si>
  <si>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</si>
  <si>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EU PROJEKTI SVEUČILIŠTA SLAVONSKOM BRODU (IZ EVIDENCIJSKIH PRIHODA)</t>
  </si>
  <si>
    <t>EU PROJEKTI JAVNIH INSTITUTA (IZ EVIDENCIJSKIH PRIHODA)</t>
  </si>
  <si>
    <t>A679115</t>
  </si>
  <si>
    <t>Dopušteni izvor</t>
  </si>
  <si>
    <t>671-izvor 11</t>
  </si>
  <si>
    <t>671-izvor 12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</si>
  <si>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</si>
  <si>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</si>
  <si>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</si>
  <si>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</si>
  <si>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</si>
  <si>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</si>
  <si>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</si>
  <si>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</si>
  <si>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Unos</t>
  </si>
  <si>
    <t>Europski fond za regionalni razvoj (EFRR)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</si>
  <si>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</si>
  <si>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</si>
  <si>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</si>
  <si>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</si>
  <si>
    <t>Anđa Čota</t>
  </si>
  <si>
    <t>031-802-407,031-802-408</t>
  </si>
  <si>
    <t>racunovodstvo@djkbf.hr</t>
  </si>
  <si>
    <t>Đakovo, 13. listopada 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</si>
</sst>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7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1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</borders>
  <cellStyleXfs count="77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</cellStyleXfs>
  <cellXfs count="30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13" fillId="18" borderId="1" xfId="14" quotePrefix="1" applyFill="1">
      <alignment horizontal="left" vertical="center" indent="1" justifyLastLine="1"/>
    </xf>
    <xf numFmtId="0" fontId="13" fillId="18" borderId="1" xfId="15" quotePrefix="1" applyFill="1">
      <alignment horizontal="left" vertical="center" indent="1" justifyLastLine="1"/>
    </xf>
    <xf numFmtId="0" fontId="0" fillId="55" borderId="0" xfId="0" applyFill="1"/>
    <xf numFmtId="0" fontId="63" fillId="55" borderId="0" xfId="0" applyFont="1" applyFill="1"/>
    <xf numFmtId="0" fontId="13" fillId="3" borderId="1" xfId="75" quotePrefix="1" applyAlignment="1">
      <alignment horizontal="left" vertical="center" indent="2"/>
    </xf>
    <xf numFmtId="0" fontId="13" fillId="3" borderId="1" xfId="75" quotePrefix="1">
      <alignment horizontal="left" vertical="center" indent="1"/>
    </xf>
    <xf numFmtId="0" fontId="13" fillId="0" borderId="1" xfId="14" quotePrefix="1" applyFill="1" applyAlignment="1">
      <alignment horizontal="left" vertical="center" indent="1" justifyLastLine="1"/>
    </xf>
    <xf numFmtId="0" fontId="13" fillId="8" borderId="1" xfId="14" quotePrefix="1" applyAlignment="1">
      <alignment horizontal="left" vertical="center" indent="3"/>
    </xf>
    <xf numFmtId="0" fontId="13" fillId="8" borderId="1" xfId="14" quotePrefix="1" applyAlignment="1">
      <alignment horizontal="left" vertical="center" indent="1"/>
    </xf>
    <xf numFmtId="0" fontId="13" fillId="2" borderId="1" xfId="15" quotePrefix="1" applyAlignment="1">
      <alignment horizontal="left" vertical="center" indent="4"/>
    </xf>
    <xf numFmtId="0" fontId="13" fillId="2" borderId="1" xfId="15" quotePrefix="1" applyAlignment="1">
      <alignment horizontal="left" vertical="center" indent="1"/>
    </xf>
    <xf numFmtId="0" fontId="13" fillId="2" borderId="1" xfId="15" quotePrefix="1" applyFont="1" applyAlignment="1">
      <alignment horizontal="left" vertical="center" indent="4"/>
    </xf>
    <xf numFmtId="0" fontId="13" fillId="2" borderId="1" xfId="15" quotePrefix="1" applyFont="1" applyAlignment="1">
      <alignment horizontal="left" vertical="center" indent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8" fontId="55" fillId="0" borderId="51" xfId="0" applyNumberFormat="1" applyFont="1" applyFill="1" applyBorder="1" applyAlignment="1">
      <alignment horizontal="center" vertical="center"/>
    </xf>
    <xf numFmtId="167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8" fontId="55" fillId="0" borderId="51" xfId="74" applyNumberFormat="1" applyFont="1" applyFill="1" applyBorder="1" applyAlignment="1">
      <alignment horizontal="center" vertical="center"/>
    </xf>
    <xf numFmtId="168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8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55" fillId="0" borderId="6" xfId="0" applyFont="1" applyFill="1" applyBorder="1" applyAlignment="1">
      <alignment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55" fillId="0" borderId="0" xfId="0" applyFont="1" applyFill="1" applyBorder="1" applyAlignment="1">
      <alignment horizontal="left" vertical="center" wrapText="1"/>
    </xf>
    <xf numFmtId="0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Font="1" applyFill="1" applyBorder="1" applyAlignment="1">
      <alignment horizontal="center" vertical="center" wrapText="1"/>
    </xf>
    <xf numFmtId="0" fontId="69" fillId="0" borderId="0" xfId="0" applyNumberFormat="1" applyFont="1" applyFill="1" applyAlignment="1">
      <alignment horizontal="center"/>
    </xf>
    <xf numFmtId="0" fontId="69" fillId="0" borderId="0" xfId="0" applyNumberFormat="1" applyFont="1" applyFill="1" applyAlignment="1">
      <alignment horizontal="left"/>
    </xf>
    <xf numFmtId="0" fontId="55" fillId="0" borderId="0" xfId="0" applyFont="1" applyFill="1" applyBorder="1" applyAlignment="1">
      <alignment horizontal="left" vertical="center"/>
    </xf>
    <xf numFmtId="0" fontId="69" fillId="0" borderId="0" xfId="0" applyNumberFormat="1" applyFont="1" applyAlignment="1">
      <alignment horizontal="center"/>
    </xf>
    <xf numFmtId="0" fontId="69" fillId="0" borderId="0" xfId="0" applyNumberFormat="1" applyFont="1" applyAlignment="1">
      <alignment horizontal="left"/>
    </xf>
    <xf numFmtId="0" fontId="43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left"/>
    </xf>
    <xf numFmtId="0" fontId="55" fillId="0" borderId="0" xfId="0" applyFont="1" applyFill="1" applyBorder="1" applyAlignment="1">
      <alignment horizontal="left" vertical="center" wrapText="1" indent="1"/>
    </xf>
    <xf numFmtId="0" fontId="70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49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NumberFormat="1" applyFont="1" applyFill="1" applyBorder="1" applyAlignment="1">
      <alignment horizontal="left" vertical="center" wrapText="1"/>
    </xf>
    <xf numFmtId="0" fontId="55" fillId="0" borderId="0" xfId="6" quotePrefix="1" applyFont="1" applyFill="1" applyBorder="1" applyAlignment="1">
      <alignment horizontal="left" vertical="center" wrapText="1"/>
    </xf>
    <xf numFmtId="1" fontId="55" fillId="0" borderId="0" xfId="0" applyNumberFormat="1" applyFont="1" applyFill="1" applyBorder="1" applyAlignment="1">
      <alignment horizontal="left" vertical="center" wrapText="1"/>
    </xf>
    <xf numFmtId="0" fontId="55" fillId="0" borderId="0" xfId="6" applyNumberFormat="1" applyFont="1" applyFill="1" applyBorder="1" applyAlignment="1">
      <alignment horizontal="left" vertical="center" wrapText="1"/>
    </xf>
    <xf numFmtId="0" fontId="55" fillId="0" borderId="0" xfId="6" applyFont="1" applyFill="1" applyBorder="1" applyAlignment="1">
      <alignment horizontal="left" vertical="center" wrapText="1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77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 2" xfId="2" xr:uid="{00000000-0005-0000-0000-000018000000}"/>
    <cellStyle name="Normal 3" xfId="20" xr:uid="{00000000-0005-0000-0000-000019000000}"/>
    <cellStyle name="Normal 3 3" xfId="3" xr:uid="{00000000-0005-0000-0000-00001A000000}"/>
    <cellStyle name="Normal 6" xfId="4" xr:uid="{00000000-0005-0000-0000-00001B000000}"/>
    <cellStyle name="Normalno" xfId="0" builtinId="0"/>
    <cellStyle name="Obično_01_ZAGREBAČKA ŽUPANIJA" xfId="73" xr:uid="{00000000-0005-0000-0000-00001C000000}"/>
    <cellStyle name="Obično_14_OSJEČKO-BARANJSKA ŽUPANIJA" xfId="74" xr:uid="{00000000-0005-0000-0000-00001D000000}"/>
    <cellStyle name="Obično_List4" xfId="5" xr:uid="{00000000-0005-0000-0000-00001E000000}"/>
    <cellStyle name="Obično_List7" xfId="6" xr:uid="{00000000-0005-0000-0000-00001F000000}"/>
    <cellStyle name="Obično_List8" xfId="7" xr:uid="{00000000-0005-0000-0000-000020000000}"/>
    <cellStyle name="Obično_List9" xfId="8" xr:uid="{00000000-0005-0000-0000-000021000000}"/>
    <cellStyle name="SAPBEXaggData" xfId="9" xr:uid="{00000000-0005-0000-0000-000022000000}"/>
    <cellStyle name="SAPBEXaggDataEmph" xfId="42" xr:uid="{00000000-0005-0000-0000-000023000000}"/>
    <cellStyle name="SAPBEXaggItem" xfId="10" xr:uid="{00000000-0005-0000-0000-000024000000}"/>
    <cellStyle name="SAPBEXaggItemX" xfId="43" xr:uid="{00000000-0005-0000-0000-000025000000}"/>
    <cellStyle name="SAPBEXchaText" xfId="11" xr:uid="{00000000-0005-0000-0000-000026000000}"/>
    <cellStyle name="SAPBEXexcBad7" xfId="44" xr:uid="{00000000-0005-0000-0000-000027000000}"/>
    <cellStyle name="SAPBEXexcBad8" xfId="45" xr:uid="{00000000-0005-0000-0000-000028000000}"/>
    <cellStyle name="SAPBEXexcBad9" xfId="46" xr:uid="{00000000-0005-0000-0000-000029000000}"/>
    <cellStyle name="SAPBEXexcCritical4" xfId="47" xr:uid="{00000000-0005-0000-0000-00002A000000}"/>
    <cellStyle name="SAPBEXexcCritical5" xfId="48" xr:uid="{00000000-0005-0000-0000-00002B000000}"/>
    <cellStyle name="SAPBEXexcCritical6" xfId="49" xr:uid="{00000000-0005-0000-0000-00002C000000}"/>
    <cellStyle name="SAPBEXexcGood1" xfId="50" xr:uid="{00000000-0005-0000-0000-00002D000000}"/>
    <cellStyle name="SAPBEXexcGood2" xfId="51" xr:uid="{00000000-0005-0000-0000-00002E000000}"/>
    <cellStyle name="SAPBEXexcGood3" xfId="52" xr:uid="{00000000-0005-0000-0000-00002F000000}"/>
    <cellStyle name="SAPBEXfilterDrill" xfId="53" xr:uid="{00000000-0005-0000-0000-000030000000}"/>
    <cellStyle name="SAPBEXfilterItem" xfId="54" xr:uid="{00000000-0005-0000-0000-000031000000}"/>
    <cellStyle name="SAPBEXfilterText" xfId="55" xr:uid="{00000000-0005-0000-0000-000032000000}"/>
    <cellStyle name="SAPBEXformats" xfId="12" xr:uid="{00000000-0005-0000-0000-000033000000}"/>
    <cellStyle name="SAPBEXheaderItem" xfId="56" xr:uid="{00000000-0005-0000-0000-000034000000}"/>
    <cellStyle name="SAPBEXheaderText" xfId="57" xr:uid="{00000000-0005-0000-0000-000035000000}"/>
    <cellStyle name="SAPBEXHLevel0" xfId="13" xr:uid="{00000000-0005-0000-0000-000036000000}"/>
    <cellStyle name="SAPBEXHLevel0 2" xfId="75" xr:uid="{00000000-0005-0000-0000-000037000000}"/>
    <cellStyle name="SAPBEXHLevel0X" xfId="58" xr:uid="{00000000-0005-0000-0000-000038000000}"/>
    <cellStyle name="SAPBEXHLevel1" xfId="14" xr:uid="{00000000-0005-0000-0000-000039000000}"/>
    <cellStyle name="SAPBEXHLevel1X" xfId="59" xr:uid="{00000000-0005-0000-0000-00003A000000}"/>
    <cellStyle name="SAPBEXHLevel2" xfId="15" xr:uid="{00000000-0005-0000-0000-00003B000000}"/>
    <cellStyle name="SAPBEXHLevel2X" xfId="60" xr:uid="{00000000-0005-0000-0000-00003C000000}"/>
    <cellStyle name="SAPBEXHLevel3" xfId="16" xr:uid="{00000000-0005-0000-0000-00003D000000}"/>
    <cellStyle name="SAPBEXHLevel3X" xfId="61" xr:uid="{00000000-0005-0000-0000-00003E000000}"/>
    <cellStyle name="SAPBEXinputData" xfId="62" xr:uid="{00000000-0005-0000-0000-00003F000000}"/>
    <cellStyle name="SAPBEXItemHeader" xfId="17" xr:uid="{00000000-0005-0000-0000-000040000000}"/>
    <cellStyle name="SAPBEXresData" xfId="63" xr:uid="{00000000-0005-0000-0000-000041000000}"/>
    <cellStyle name="SAPBEXresDataEmph" xfId="64" xr:uid="{00000000-0005-0000-0000-000042000000}"/>
    <cellStyle name="SAPBEXresItem" xfId="65" xr:uid="{00000000-0005-0000-0000-000043000000}"/>
    <cellStyle name="SAPBEXresItemX" xfId="66" xr:uid="{00000000-0005-0000-0000-000044000000}"/>
    <cellStyle name="SAPBEXstdData" xfId="18" xr:uid="{00000000-0005-0000-0000-000045000000}"/>
    <cellStyle name="SAPBEXstdDataEmph" xfId="67" xr:uid="{00000000-0005-0000-0000-000046000000}"/>
    <cellStyle name="SAPBEXstdItem" xfId="19" xr:uid="{00000000-0005-0000-0000-000047000000}"/>
    <cellStyle name="SAPBEXstdItemX" xfId="68" xr:uid="{00000000-0005-0000-0000-000048000000}"/>
    <cellStyle name="SAPBEXtitle" xfId="69" xr:uid="{00000000-0005-0000-0000-000049000000}"/>
    <cellStyle name="SAPBEXunassignedItem" xfId="70" xr:uid="{00000000-0005-0000-0000-00004A000000}"/>
    <cellStyle name="SAPBEXundefined" xfId="71" xr:uid="{00000000-0005-0000-0000-00004B000000}"/>
    <cellStyle name="Sheet Title" xfId="72" xr:uid="{00000000-0005-0000-0000-00004C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996"/>
  <sheetViews>
    <sheetView showGridLines="0" tabSelected="1" topLeftCell="A13" workbookViewId="0">
      <selection activeCell="C4" sqref="C4:E4"/>
    </sheetView>
  </sheetViews>
  <sheetFormatPr defaultColWidth="14.42578125" defaultRowHeight="12.75"/>
  <cols>
    <col min="1" max="1" width="7.5703125" style="152" customWidth="1"/>
    <col min="2" max="2" width="36.140625" style="152" bestFit="1" customWidth="1"/>
    <col min="3" max="3" width="21.42578125" style="152" customWidth="1"/>
    <col min="4" max="4" width="21.140625" style="152" customWidth="1"/>
    <col min="5" max="5" width="21.7109375" style="152" customWidth="1"/>
    <col min="6" max="8" width="11.42578125" style="152" customWidth="1"/>
    <col min="9" max="11" width="11.42578125" style="152" hidden="1" customWidth="1"/>
    <col min="12" max="12" width="16.42578125" style="152" hidden="1" customWidth="1"/>
    <col min="13" max="13" width="7.85546875" style="152" hidden="1" customWidth="1"/>
    <col min="14" max="14" width="41.28515625" style="152" hidden="1" customWidth="1"/>
    <col min="15" max="15" width="19.5703125" style="152" hidden="1" customWidth="1"/>
    <col min="16" max="22" width="11.42578125" style="152" hidden="1" customWidth="1"/>
    <col min="23" max="28" width="11.42578125" style="152" customWidth="1"/>
    <col min="29" max="16384" width="14.42578125" style="152"/>
  </cols>
  <sheetData>
    <row r="1" spans="1:28">
      <c r="A1" s="249"/>
    </row>
    <row r="3" spans="1:28" ht="36.75" customHeight="1" thickBot="1">
      <c r="A3" s="153"/>
      <c r="B3" s="193" t="s">
        <v>361</v>
      </c>
      <c r="C3" s="282" t="s">
        <v>2193</v>
      </c>
      <c r="D3" s="283"/>
      <c r="E3" s="284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</row>
    <row r="4" spans="1:28" ht="15.75" thickBot="1">
      <c r="A4" s="153"/>
      <c r="B4" s="194" t="s">
        <v>0</v>
      </c>
      <c r="C4" s="285" t="s">
        <v>2339</v>
      </c>
      <c r="D4" s="286"/>
      <c r="E4" s="287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1:28" ht="15.75" thickBot="1">
      <c r="A5" s="154"/>
      <c r="B5" s="194" t="s">
        <v>1</v>
      </c>
      <c r="C5" s="285" t="s">
        <v>2336</v>
      </c>
      <c r="D5" s="286"/>
      <c r="E5" s="287"/>
      <c r="F5" s="153"/>
      <c r="G5" s="153"/>
      <c r="H5" s="153"/>
      <c r="I5" s="153"/>
      <c r="J5" s="153"/>
      <c r="K5" s="155" t="s">
        <v>371</v>
      </c>
      <c r="L5" s="155" t="s">
        <v>755</v>
      </c>
      <c r="M5" s="155" t="s">
        <v>372</v>
      </c>
      <c r="N5" s="155" t="s">
        <v>373</v>
      </c>
      <c r="O5" s="155" t="s">
        <v>374</v>
      </c>
      <c r="P5" s="155" t="s">
        <v>375</v>
      </c>
      <c r="Q5" s="155" t="s">
        <v>376</v>
      </c>
      <c r="R5" s="155" t="s">
        <v>377</v>
      </c>
      <c r="S5" s="155" t="s">
        <v>378</v>
      </c>
      <c r="T5" s="155" t="s">
        <v>753</v>
      </c>
      <c r="U5" s="156" t="s">
        <v>226</v>
      </c>
      <c r="V5" s="153"/>
      <c r="W5" s="153"/>
      <c r="X5" s="153"/>
      <c r="Y5" s="153"/>
      <c r="Z5" s="153"/>
      <c r="AA5" s="153"/>
      <c r="AB5" s="153"/>
    </row>
    <row r="6" spans="1:28" ht="15.75" thickBot="1">
      <c r="A6" s="157"/>
      <c r="B6" s="194" t="s">
        <v>2</v>
      </c>
      <c r="C6" s="285" t="s">
        <v>2337</v>
      </c>
      <c r="D6" s="286"/>
      <c r="E6" s="287"/>
      <c r="F6" s="153"/>
      <c r="G6" s="153"/>
      <c r="H6" s="153"/>
      <c r="I6" s="153"/>
      <c r="J6" s="153"/>
      <c r="K6" s="152">
        <v>0</v>
      </c>
      <c r="L6" s="152" t="s">
        <v>756</v>
      </c>
      <c r="T6" s="152" t="s">
        <v>782</v>
      </c>
      <c r="U6" s="152" t="s">
        <v>782</v>
      </c>
      <c r="V6" s="153"/>
      <c r="W6" s="153"/>
      <c r="X6" s="153"/>
      <c r="Y6" s="153"/>
      <c r="Z6" s="153"/>
      <c r="AA6" s="153"/>
      <c r="AB6" s="153"/>
    </row>
    <row r="7" spans="1:28" ht="15.75" thickBot="1">
      <c r="A7" s="157"/>
      <c r="B7" s="194" t="s">
        <v>360</v>
      </c>
      <c r="C7" s="285" t="s">
        <v>2338</v>
      </c>
      <c r="D7" s="286"/>
      <c r="E7" s="287"/>
      <c r="F7" s="153"/>
      <c r="G7" s="153"/>
      <c r="H7" s="153"/>
      <c r="I7" s="153"/>
      <c r="J7" s="153"/>
      <c r="K7" s="239">
        <f t="shared" ref="K7:K34" si="0">+K6+1</f>
        <v>1</v>
      </c>
      <c r="L7" s="237" t="s">
        <v>2307</v>
      </c>
      <c r="M7" s="237">
        <v>1222</v>
      </c>
      <c r="N7" s="240" t="s">
        <v>610</v>
      </c>
      <c r="O7" s="241"/>
      <c r="P7" s="246"/>
      <c r="Q7" s="240"/>
      <c r="R7" s="238"/>
      <c r="S7" s="234"/>
      <c r="T7" s="235" t="s">
        <v>1536</v>
      </c>
      <c r="U7" s="236" t="s">
        <v>1205</v>
      </c>
      <c r="V7" s="153"/>
      <c r="W7" s="153"/>
      <c r="X7" s="153"/>
      <c r="Y7" s="153"/>
      <c r="Z7" s="153"/>
      <c r="AA7" s="153"/>
      <c r="AB7" s="153"/>
    </row>
    <row r="8" spans="1:28" ht="15">
      <c r="A8" s="157"/>
      <c r="B8" s="157"/>
      <c r="C8" s="153"/>
      <c r="D8" s="153"/>
      <c r="E8" s="153"/>
      <c r="F8" s="153"/>
      <c r="G8" s="153"/>
      <c r="H8" s="153"/>
      <c r="I8" s="153"/>
      <c r="J8" s="153"/>
      <c r="K8" s="239">
        <f t="shared" si="0"/>
        <v>2</v>
      </c>
      <c r="L8" s="237" t="s">
        <v>2234</v>
      </c>
      <c r="M8" s="237">
        <v>1757</v>
      </c>
      <c r="N8" s="240" t="s">
        <v>533</v>
      </c>
      <c r="O8" s="241" t="s">
        <v>514</v>
      </c>
      <c r="P8" s="240" t="s">
        <v>534</v>
      </c>
      <c r="Q8" s="240" t="s">
        <v>380</v>
      </c>
      <c r="R8" s="238">
        <v>3276643</v>
      </c>
      <c r="S8" s="234" t="s">
        <v>535</v>
      </c>
      <c r="T8" s="235" t="s">
        <v>52</v>
      </c>
      <c r="U8" s="236" t="s">
        <v>51</v>
      </c>
      <c r="V8" s="153"/>
      <c r="W8" s="153"/>
      <c r="X8" s="153"/>
      <c r="Y8" s="153"/>
      <c r="Z8" s="153"/>
      <c r="AA8" s="153"/>
      <c r="AB8" s="153"/>
    </row>
    <row r="9" spans="1:28" ht="28.5" customHeight="1">
      <c r="B9" s="281" t="s">
        <v>2140</v>
      </c>
      <c r="C9" s="280"/>
      <c r="D9" s="280"/>
      <c r="E9" s="280"/>
      <c r="F9" s="153"/>
      <c r="G9" s="153"/>
      <c r="H9" s="153"/>
      <c r="I9" s="153"/>
      <c r="J9" s="153"/>
      <c r="K9" s="239">
        <f t="shared" si="0"/>
        <v>3</v>
      </c>
      <c r="L9" s="237" t="s">
        <v>2253</v>
      </c>
      <c r="M9" s="237">
        <v>1781</v>
      </c>
      <c r="N9" s="240" t="s">
        <v>586</v>
      </c>
      <c r="O9" s="241" t="s">
        <v>514</v>
      </c>
      <c r="P9" s="240" t="s">
        <v>587</v>
      </c>
      <c r="Q9" s="240" t="s">
        <v>380</v>
      </c>
      <c r="R9" s="238">
        <v>3270149</v>
      </c>
      <c r="S9" s="234" t="s">
        <v>588</v>
      </c>
      <c r="T9" s="235" t="s">
        <v>52</v>
      </c>
      <c r="U9" s="236" t="s">
        <v>51</v>
      </c>
      <c r="V9" s="153"/>
      <c r="W9" s="153"/>
      <c r="X9" s="153"/>
      <c r="Y9" s="153"/>
      <c r="Z9" s="153"/>
      <c r="AA9" s="153"/>
      <c r="AB9" s="153"/>
    </row>
    <row r="10" spans="1:28" ht="18.75" customHeight="1">
      <c r="B10" s="281" t="s">
        <v>3</v>
      </c>
      <c r="C10" s="280"/>
      <c r="D10" s="280"/>
      <c r="E10" s="280"/>
      <c r="F10" s="153"/>
      <c r="G10" s="153"/>
      <c r="H10" s="153"/>
      <c r="I10" s="153"/>
      <c r="J10" s="153"/>
      <c r="K10" s="239">
        <f t="shared" si="0"/>
        <v>4</v>
      </c>
      <c r="L10" s="237" t="s">
        <v>2238</v>
      </c>
      <c r="M10" s="237">
        <v>1790</v>
      </c>
      <c r="N10" s="240" t="s">
        <v>540</v>
      </c>
      <c r="O10" s="248" t="s">
        <v>514</v>
      </c>
      <c r="P10" s="240" t="s">
        <v>541</v>
      </c>
      <c r="Q10" s="240" t="s">
        <v>380</v>
      </c>
      <c r="R10" s="238">
        <v>3250270</v>
      </c>
      <c r="S10" s="234" t="s">
        <v>542</v>
      </c>
      <c r="T10" s="235" t="s">
        <v>52</v>
      </c>
      <c r="U10" s="236" t="s">
        <v>51</v>
      </c>
      <c r="V10" s="153"/>
      <c r="W10" s="153"/>
      <c r="X10" s="153"/>
      <c r="Y10" s="153"/>
      <c r="Z10" s="153"/>
      <c r="AA10" s="153"/>
      <c r="AB10" s="153"/>
    </row>
    <row r="11" spans="1:28" ht="12" customHeight="1">
      <c r="B11" s="279"/>
      <c r="C11" s="280"/>
      <c r="D11" s="280"/>
      <c r="E11" s="280"/>
      <c r="F11" s="153"/>
      <c r="G11" s="153"/>
      <c r="H11" s="153"/>
      <c r="I11" s="153"/>
      <c r="J11" s="153"/>
      <c r="K11" s="239">
        <f t="shared" si="0"/>
        <v>5</v>
      </c>
      <c r="L11" s="237" t="s">
        <v>2257</v>
      </c>
      <c r="M11" s="237">
        <v>1804</v>
      </c>
      <c r="N11" s="240" t="s">
        <v>597</v>
      </c>
      <c r="O11" s="248" t="s">
        <v>514</v>
      </c>
      <c r="P11" s="240" t="s">
        <v>598</v>
      </c>
      <c r="Q11" s="240" t="s">
        <v>380</v>
      </c>
      <c r="R11" s="238">
        <v>3207064</v>
      </c>
      <c r="S11" s="234" t="s">
        <v>599</v>
      </c>
      <c r="T11" s="235" t="s">
        <v>52</v>
      </c>
      <c r="U11" s="236" t="s">
        <v>51</v>
      </c>
      <c r="V11" s="153"/>
      <c r="W11" s="153"/>
      <c r="X11" s="153"/>
      <c r="Y11" s="153"/>
      <c r="Z11" s="153"/>
      <c r="AA11" s="153"/>
      <c r="AB11" s="153"/>
    </row>
    <row r="12" spans="1:28" ht="12" customHeight="1">
      <c r="A12" s="159"/>
      <c r="B12" s="159"/>
      <c r="C12" s="153"/>
      <c r="D12" s="153"/>
      <c r="E12" s="153"/>
      <c r="F12" s="153"/>
      <c r="G12" s="153"/>
      <c r="H12" s="153"/>
      <c r="I12" s="153"/>
      <c r="J12" s="153"/>
      <c r="K12" s="239">
        <f t="shared" si="0"/>
        <v>6</v>
      </c>
      <c r="L12" s="237" t="s">
        <v>2240</v>
      </c>
      <c r="M12" s="237">
        <v>1812</v>
      </c>
      <c r="N12" s="240" t="s">
        <v>546</v>
      </c>
      <c r="O12" s="248" t="s">
        <v>514</v>
      </c>
      <c r="P12" s="240" t="s">
        <v>547</v>
      </c>
      <c r="Q12" s="240" t="s">
        <v>380</v>
      </c>
      <c r="R12" s="238">
        <v>3260771</v>
      </c>
      <c r="S12" s="234" t="s">
        <v>548</v>
      </c>
      <c r="T12" s="235" t="s">
        <v>52</v>
      </c>
      <c r="U12" s="236" t="s">
        <v>51</v>
      </c>
      <c r="V12" s="153"/>
      <c r="W12" s="153"/>
      <c r="X12" s="153"/>
      <c r="Y12" s="153"/>
      <c r="Z12" s="153"/>
      <c r="AA12" s="153"/>
      <c r="AB12" s="153"/>
    </row>
    <row r="13" spans="1:28" ht="33" customHeight="1">
      <c r="A13" s="160"/>
      <c r="B13" s="160"/>
      <c r="C13" s="160" t="s">
        <v>2141</v>
      </c>
      <c r="D13" s="160" t="s">
        <v>2142</v>
      </c>
      <c r="E13" s="160" t="s">
        <v>2143</v>
      </c>
      <c r="F13" s="161"/>
      <c r="G13" s="153"/>
      <c r="H13" s="153"/>
      <c r="I13" s="153"/>
      <c r="J13" s="153"/>
      <c r="K13" s="239">
        <f t="shared" si="0"/>
        <v>7</v>
      </c>
      <c r="L13" s="237" t="s">
        <v>2241</v>
      </c>
      <c r="M13" s="237">
        <v>1829</v>
      </c>
      <c r="N13" s="240" t="s">
        <v>549</v>
      </c>
      <c r="O13" s="248" t="s">
        <v>514</v>
      </c>
      <c r="P13" s="240" t="s">
        <v>550</v>
      </c>
      <c r="Q13" s="240" t="s">
        <v>380</v>
      </c>
      <c r="R13" s="238">
        <v>3276546</v>
      </c>
      <c r="S13" s="234" t="s">
        <v>551</v>
      </c>
      <c r="T13" s="235" t="s">
        <v>52</v>
      </c>
      <c r="U13" s="236" t="s">
        <v>51</v>
      </c>
      <c r="V13" s="153"/>
      <c r="W13" s="153"/>
      <c r="X13" s="153"/>
      <c r="Y13" s="153"/>
      <c r="Z13" s="153"/>
      <c r="AA13" s="153"/>
      <c r="AB13" s="153"/>
    </row>
    <row r="14" spans="1:28" ht="19.5" customHeight="1">
      <c r="A14" s="162"/>
      <c r="B14" s="162" t="s">
        <v>4</v>
      </c>
      <c r="C14" s="163">
        <f>SUM(C15:C16)</f>
        <v>8205000</v>
      </c>
      <c r="D14" s="163">
        <f>+D15+D16</f>
        <v>8522977</v>
      </c>
      <c r="E14" s="163">
        <f>+E15+E16</f>
        <v>8578153</v>
      </c>
      <c r="F14" s="164"/>
      <c r="G14" s="153"/>
      <c r="H14" s="153"/>
      <c r="I14" s="153"/>
      <c r="J14" s="153"/>
      <c r="K14" s="239">
        <f t="shared" si="0"/>
        <v>8</v>
      </c>
      <c r="L14" s="237" t="s">
        <v>2245</v>
      </c>
      <c r="M14" s="237">
        <v>1837</v>
      </c>
      <c r="N14" s="240" t="s">
        <v>564</v>
      </c>
      <c r="O14" s="248" t="s">
        <v>514</v>
      </c>
      <c r="P14" s="240" t="s">
        <v>565</v>
      </c>
      <c r="Q14" s="240" t="s">
        <v>380</v>
      </c>
      <c r="R14" s="238">
        <v>3227120</v>
      </c>
      <c r="S14" s="234" t="s">
        <v>566</v>
      </c>
      <c r="T14" s="235" t="s">
        <v>52</v>
      </c>
      <c r="U14" s="236" t="s">
        <v>51</v>
      </c>
      <c r="V14" s="153"/>
      <c r="W14" s="153"/>
      <c r="X14" s="153"/>
      <c r="Y14" s="153"/>
      <c r="Z14" s="153"/>
      <c r="AA14" s="153"/>
      <c r="AB14" s="153"/>
    </row>
    <row r="15" spans="1:28" ht="19.5" customHeight="1">
      <c r="A15" s="165">
        <v>6</v>
      </c>
      <c r="B15" s="162" t="s">
        <v>5</v>
      </c>
      <c r="C15" s="166">
        <f>'PLAN PRIHODA I PRIMITAKA '!D27</f>
        <v>8205000</v>
      </c>
      <c r="D15" s="166">
        <f>'PLAN PRIHODA I PRIMITAKA '!D68</f>
        <v>8522977</v>
      </c>
      <c r="E15" s="166">
        <f>'PLAN PRIHODA I PRIMITAKA '!D109</f>
        <v>8578153</v>
      </c>
      <c r="F15" s="153"/>
      <c r="G15" s="153"/>
      <c r="H15" s="153"/>
      <c r="I15" s="153"/>
      <c r="J15" s="153"/>
      <c r="K15" s="239">
        <f t="shared" si="0"/>
        <v>9</v>
      </c>
      <c r="L15" s="237" t="s">
        <v>2252</v>
      </c>
      <c r="M15" s="237">
        <v>1845</v>
      </c>
      <c r="N15" s="240" t="s">
        <v>584</v>
      </c>
      <c r="O15" s="248" t="s">
        <v>514</v>
      </c>
      <c r="P15" s="240" t="s">
        <v>590</v>
      </c>
      <c r="Q15" s="240" t="s">
        <v>380</v>
      </c>
      <c r="R15" s="238">
        <v>3207102</v>
      </c>
      <c r="S15" s="234" t="s">
        <v>585</v>
      </c>
      <c r="T15" s="235" t="s">
        <v>52</v>
      </c>
      <c r="U15" s="236" t="s">
        <v>51</v>
      </c>
      <c r="V15" s="153"/>
      <c r="W15" s="153"/>
      <c r="X15" s="153"/>
      <c r="Y15" s="153"/>
      <c r="Z15" s="153"/>
      <c r="AA15" s="153"/>
      <c r="AB15" s="153"/>
    </row>
    <row r="16" spans="1:28" ht="19.5" customHeight="1">
      <c r="A16" s="165">
        <v>7</v>
      </c>
      <c r="B16" s="167" t="s">
        <v>6</v>
      </c>
      <c r="C16" s="166">
        <f>'PLAN PRIHODA I PRIMITAKA '!D34</f>
        <v>0</v>
      </c>
      <c r="D16" s="166">
        <f>'PLAN PRIHODA I PRIMITAKA '!D75</f>
        <v>0</v>
      </c>
      <c r="E16" s="166">
        <f>'PLAN PRIHODA I PRIMITAKA '!D116</f>
        <v>0</v>
      </c>
      <c r="F16" s="153"/>
      <c r="G16" s="168"/>
      <c r="H16" s="153"/>
      <c r="I16" s="153"/>
      <c r="J16" s="153"/>
      <c r="K16" s="239">
        <f t="shared" si="0"/>
        <v>10</v>
      </c>
      <c r="L16" s="237" t="s">
        <v>2244</v>
      </c>
      <c r="M16" s="237">
        <v>1853</v>
      </c>
      <c r="N16" s="240" t="s">
        <v>558</v>
      </c>
      <c r="O16" s="248" t="s">
        <v>514</v>
      </c>
      <c r="P16" s="240" t="s">
        <v>2163</v>
      </c>
      <c r="Q16" s="240" t="s">
        <v>380</v>
      </c>
      <c r="R16" s="238">
        <v>3204987</v>
      </c>
      <c r="S16" s="234" t="s">
        <v>559</v>
      </c>
      <c r="T16" s="235" t="s">
        <v>52</v>
      </c>
      <c r="U16" s="236" t="s">
        <v>51</v>
      </c>
      <c r="V16" s="153"/>
      <c r="W16" s="153"/>
      <c r="X16" s="153"/>
      <c r="Y16" s="153"/>
      <c r="Z16" s="153"/>
      <c r="AA16" s="153"/>
      <c r="AB16" s="153"/>
    </row>
    <row r="17" spans="1:28" ht="19.5" customHeight="1">
      <c r="A17" s="169"/>
      <c r="B17" s="167" t="s">
        <v>7</v>
      </c>
      <c r="C17" s="170">
        <f>SUM(C18:C19)</f>
        <v>8315000</v>
      </c>
      <c r="D17" s="170">
        <f>+D18+D19</f>
        <v>8429977</v>
      </c>
      <c r="E17" s="170">
        <f>+E18+E19</f>
        <v>8483153</v>
      </c>
      <c r="F17" s="153"/>
      <c r="G17" s="153"/>
      <c r="H17" s="153"/>
      <c r="I17" s="153"/>
      <c r="J17" s="153"/>
      <c r="K17" s="239">
        <f t="shared" si="0"/>
        <v>11</v>
      </c>
      <c r="L17" s="237" t="s">
        <v>2231</v>
      </c>
      <c r="M17" s="237">
        <v>1861</v>
      </c>
      <c r="N17" s="240" t="s">
        <v>525</v>
      </c>
      <c r="O17" s="248" t="s">
        <v>514</v>
      </c>
      <c r="P17" s="240" t="s">
        <v>526</v>
      </c>
      <c r="Q17" s="240" t="s">
        <v>380</v>
      </c>
      <c r="R17" s="238">
        <v>3204952</v>
      </c>
      <c r="S17" s="234" t="s">
        <v>527</v>
      </c>
      <c r="T17" s="235" t="s">
        <v>52</v>
      </c>
      <c r="U17" s="236" t="s">
        <v>51</v>
      </c>
      <c r="V17" s="153"/>
      <c r="W17" s="153"/>
      <c r="X17" s="153"/>
      <c r="Y17" s="153"/>
      <c r="Z17" s="153"/>
      <c r="AA17" s="153"/>
      <c r="AB17" s="153"/>
    </row>
    <row r="18" spans="1:28" ht="19.5" customHeight="1">
      <c r="A18" s="169">
        <v>3</v>
      </c>
      <c r="B18" s="162" t="s">
        <v>8</v>
      </c>
      <c r="C18" s="171">
        <f>'PLAN RASHODA I IZDATAKA'!D4</f>
        <v>8255000</v>
      </c>
      <c r="D18" s="172">
        <f>'PLAN RASHODA I IZDATAKA'!D72</f>
        <v>8369977</v>
      </c>
      <c r="E18" s="172">
        <f>'PLAN RASHODA I IZDATAKA'!D92</f>
        <v>8423153</v>
      </c>
      <c r="F18" s="153"/>
      <c r="G18" s="153"/>
      <c r="H18" s="153"/>
      <c r="I18" s="153"/>
      <c r="J18" s="153"/>
      <c r="K18" s="239">
        <f t="shared" si="0"/>
        <v>12</v>
      </c>
      <c r="L18" s="237" t="s">
        <v>2255</v>
      </c>
      <c r="M18" s="237">
        <v>1870</v>
      </c>
      <c r="N18" s="240" t="s">
        <v>592</v>
      </c>
      <c r="O18" s="248" t="s">
        <v>514</v>
      </c>
      <c r="P18" s="240" t="s">
        <v>593</v>
      </c>
      <c r="Q18" s="240" t="s">
        <v>380</v>
      </c>
      <c r="R18" s="238">
        <v>3204995</v>
      </c>
      <c r="S18" s="234" t="s">
        <v>594</v>
      </c>
      <c r="T18" s="235" t="s">
        <v>52</v>
      </c>
      <c r="U18" s="236" t="s">
        <v>51</v>
      </c>
      <c r="V18" s="153"/>
      <c r="W18" s="153"/>
      <c r="X18" s="153"/>
      <c r="Y18" s="153"/>
      <c r="Z18" s="153"/>
      <c r="AA18" s="153"/>
      <c r="AB18" s="153"/>
    </row>
    <row r="19" spans="1:28" ht="19.5" customHeight="1">
      <c r="A19" s="165">
        <v>4</v>
      </c>
      <c r="B19" s="167" t="s">
        <v>9</v>
      </c>
      <c r="C19" s="171">
        <f>'PLAN RASHODA I IZDATAKA'!D38</f>
        <v>60000</v>
      </c>
      <c r="D19" s="172">
        <f>'PLAN RASHODA I IZDATAKA'!D80</f>
        <v>60000</v>
      </c>
      <c r="E19" s="172">
        <f>'PLAN RASHODA I IZDATAKA'!D100</f>
        <v>60000</v>
      </c>
      <c r="F19" s="153"/>
      <c r="G19" s="153"/>
      <c r="H19" s="153"/>
      <c r="I19" s="153"/>
      <c r="J19" s="153"/>
      <c r="K19" s="239">
        <f t="shared" si="0"/>
        <v>13</v>
      </c>
      <c r="L19" s="237" t="s">
        <v>2248</v>
      </c>
      <c r="M19" s="237">
        <v>1888</v>
      </c>
      <c r="N19" s="240" t="s">
        <v>573</v>
      </c>
      <c r="O19" s="248" t="s">
        <v>514</v>
      </c>
      <c r="P19" s="240" t="s">
        <v>574</v>
      </c>
      <c r="Q19" s="240" t="s">
        <v>380</v>
      </c>
      <c r="R19" s="238">
        <v>3270211</v>
      </c>
      <c r="S19" s="234" t="s">
        <v>575</v>
      </c>
      <c r="T19" s="235" t="s">
        <v>52</v>
      </c>
      <c r="U19" s="236" t="s">
        <v>51</v>
      </c>
      <c r="V19" s="153"/>
      <c r="W19" s="153"/>
      <c r="X19" s="153"/>
      <c r="Y19" s="153"/>
      <c r="Z19" s="153"/>
      <c r="AA19" s="153"/>
      <c r="AB19" s="153"/>
    </row>
    <row r="20" spans="1:28" ht="19.5" customHeight="1">
      <c r="A20" s="162"/>
      <c r="B20" s="162" t="s">
        <v>10</v>
      </c>
      <c r="C20" s="163">
        <f>+C14-C17</f>
        <v>-110000</v>
      </c>
      <c r="D20" s="163">
        <f>+D14-D17</f>
        <v>93000</v>
      </c>
      <c r="E20" s="163">
        <f>+E14-E17</f>
        <v>95000</v>
      </c>
      <c r="F20" s="153"/>
      <c r="G20" s="153"/>
      <c r="H20" s="153"/>
      <c r="I20" s="153"/>
      <c r="J20" s="153"/>
      <c r="K20" s="239">
        <f t="shared" si="0"/>
        <v>14</v>
      </c>
      <c r="L20" s="237" t="s">
        <v>2256</v>
      </c>
      <c r="M20" s="237">
        <v>1896</v>
      </c>
      <c r="N20" s="240" t="s">
        <v>595</v>
      </c>
      <c r="O20" s="248" t="s">
        <v>514</v>
      </c>
      <c r="P20" s="240" t="s">
        <v>2166</v>
      </c>
      <c r="Q20" s="240" t="s">
        <v>380</v>
      </c>
      <c r="R20" s="238">
        <v>3281485</v>
      </c>
      <c r="S20" s="234" t="s">
        <v>596</v>
      </c>
      <c r="T20" s="235" t="s">
        <v>52</v>
      </c>
      <c r="U20" s="236" t="s">
        <v>51</v>
      </c>
      <c r="V20" s="153"/>
      <c r="W20" s="153"/>
      <c r="X20" s="153"/>
      <c r="Y20" s="153"/>
      <c r="Z20" s="153"/>
      <c r="AA20" s="153"/>
      <c r="AB20" s="153"/>
    </row>
    <row r="21" spans="1:28" ht="19.5" customHeight="1">
      <c r="B21" s="279"/>
      <c r="C21" s="280"/>
      <c r="D21" s="280"/>
      <c r="E21" s="280"/>
      <c r="F21" s="153"/>
      <c r="G21" s="153"/>
      <c r="H21" s="153"/>
      <c r="I21" s="153"/>
      <c r="J21" s="153"/>
      <c r="K21" s="239">
        <f t="shared" si="0"/>
        <v>15</v>
      </c>
      <c r="L21" s="237" t="s">
        <v>2239</v>
      </c>
      <c r="M21" s="237">
        <v>1907</v>
      </c>
      <c r="N21" s="240" t="s">
        <v>543</v>
      </c>
      <c r="O21" s="248" t="s">
        <v>514</v>
      </c>
      <c r="P21" s="240" t="s">
        <v>544</v>
      </c>
      <c r="Q21" s="240" t="s">
        <v>380</v>
      </c>
      <c r="R21" s="238">
        <v>3270262</v>
      </c>
      <c r="S21" s="234" t="s">
        <v>545</v>
      </c>
      <c r="T21" s="235" t="s">
        <v>52</v>
      </c>
      <c r="U21" s="236" t="s">
        <v>51</v>
      </c>
      <c r="V21" s="153"/>
      <c r="W21" s="153"/>
      <c r="X21" s="153"/>
      <c r="Y21" s="153"/>
      <c r="Z21" s="153"/>
      <c r="AA21" s="153"/>
      <c r="AB21" s="153"/>
    </row>
    <row r="22" spans="1:28" ht="29.25" customHeight="1">
      <c r="A22" s="160"/>
      <c r="B22" s="160"/>
      <c r="C22" s="160" t="s">
        <v>2141</v>
      </c>
      <c r="D22" s="160" t="s">
        <v>2142</v>
      </c>
      <c r="E22" s="160" t="s">
        <v>2143</v>
      </c>
      <c r="F22" s="153"/>
      <c r="G22" s="153"/>
      <c r="H22" s="168"/>
      <c r="I22" s="153"/>
      <c r="J22" s="153"/>
      <c r="K22" s="239">
        <f t="shared" si="0"/>
        <v>16</v>
      </c>
      <c r="L22" s="237" t="s">
        <v>2251</v>
      </c>
      <c r="M22" s="237">
        <v>1915</v>
      </c>
      <c r="N22" s="240" t="s">
        <v>581</v>
      </c>
      <c r="O22" s="248" t="s">
        <v>514</v>
      </c>
      <c r="P22" s="240" t="s">
        <v>582</v>
      </c>
      <c r="Q22" s="240" t="s">
        <v>380</v>
      </c>
      <c r="R22" s="238">
        <v>3225909</v>
      </c>
      <c r="S22" s="234" t="s">
        <v>583</v>
      </c>
      <c r="T22" s="235" t="s">
        <v>52</v>
      </c>
      <c r="U22" s="236" t="s">
        <v>51</v>
      </c>
      <c r="V22" s="153"/>
      <c r="W22" s="153"/>
      <c r="X22" s="153"/>
      <c r="Y22" s="153"/>
      <c r="Z22" s="153"/>
      <c r="AA22" s="153"/>
      <c r="AB22" s="153"/>
    </row>
    <row r="23" spans="1:28" ht="30">
      <c r="A23" s="173" t="s">
        <v>11</v>
      </c>
      <c r="B23" s="173" t="s">
        <v>12</v>
      </c>
      <c r="C23" s="171">
        <f>'PLAN PRIHODA I PRIMITAKA '!D5</f>
        <v>1100000</v>
      </c>
      <c r="D23" s="171">
        <f>'PLAN PRIHODA I PRIMITAKA '!D46</f>
        <v>990000</v>
      </c>
      <c r="E23" s="171">
        <f>'PLAN PRIHODA I PRIMITAKA '!D87</f>
        <v>1083000</v>
      </c>
      <c r="F23" s="153"/>
      <c r="G23" s="153"/>
      <c r="H23" s="174"/>
      <c r="I23" s="153"/>
      <c r="J23" s="153"/>
      <c r="K23" s="239">
        <f t="shared" si="0"/>
        <v>17</v>
      </c>
      <c r="L23" s="237" t="s">
        <v>2228</v>
      </c>
      <c r="M23" s="237">
        <v>1923</v>
      </c>
      <c r="N23" s="240" t="s">
        <v>516</v>
      </c>
      <c r="O23" s="248" t="s">
        <v>514</v>
      </c>
      <c r="P23" s="240" t="s">
        <v>517</v>
      </c>
      <c r="Q23" s="240" t="s">
        <v>380</v>
      </c>
      <c r="R23" s="238">
        <v>3283097</v>
      </c>
      <c r="S23" s="234" t="s">
        <v>518</v>
      </c>
      <c r="T23" s="235" t="s">
        <v>52</v>
      </c>
      <c r="U23" s="236" t="s">
        <v>51</v>
      </c>
      <c r="V23" s="153"/>
      <c r="W23" s="153"/>
      <c r="X23" s="153"/>
      <c r="Y23" s="153"/>
      <c r="Z23" s="153"/>
      <c r="AA23" s="153"/>
      <c r="AB23" s="153"/>
    </row>
    <row r="24" spans="1:28" ht="30">
      <c r="A24" s="173" t="s">
        <v>13</v>
      </c>
      <c r="B24" s="173" t="s">
        <v>14</v>
      </c>
      <c r="C24" s="175">
        <f>'PLAN PRIHODA I PRIMITAKA '!D7</f>
        <v>-990000</v>
      </c>
      <c r="D24" s="175">
        <f>'PLAN PRIHODA I PRIMITAKA '!D48</f>
        <v>-1083000</v>
      </c>
      <c r="E24" s="176">
        <f>'PLAN PRIHODA I PRIMITAKA '!D89</f>
        <v>-1178000</v>
      </c>
      <c r="F24" s="153"/>
      <c r="G24" s="153"/>
      <c r="H24" s="174"/>
      <c r="I24" s="153"/>
      <c r="J24" s="153"/>
      <c r="K24" s="239">
        <f t="shared" si="0"/>
        <v>18</v>
      </c>
      <c r="L24" s="237" t="s">
        <v>2233</v>
      </c>
      <c r="M24" s="237">
        <v>1931</v>
      </c>
      <c r="N24" s="240" t="s">
        <v>531</v>
      </c>
      <c r="O24" s="241" t="s">
        <v>514</v>
      </c>
      <c r="P24" s="240" t="s">
        <v>2158</v>
      </c>
      <c r="Q24" s="240" t="s">
        <v>380</v>
      </c>
      <c r="R24" s="238">
        <v>3272079</v>
      </c>
      <c r="S24" s="234" t="s">
        <v>532</v>
      </c>
      <c r="T24" s="235" t="s">
        <v>52</v>
      </c>
      <c r="U24" s="236" t="s">
        <v>51</v>
      </c>
      <c r="V24" s="153"/>
      <c r="W24" s="153"/>
      <c r="X24" s="153"/>
      <c r="Y24" s="153"/>
      <c r="Z24" s="153"/>
      <c r="AA24" s="153"/>
      <c r="AB24" s="153"/>
    </row>
    <row r="25" spans="1:28" ht="19.5" customHeight="1">
      <c r="B25" s="279"/>
      <c r="C25" s="280"/>
      <c r="D25" s="280"/>
      <c r="E25" s="280"/>
      <c r="F25" s="153"/>
      <c r="G25" s="153"/>
      <c r="H25" s="153"/>
      <c r="I25" s="153"/>
      <c r="J25" s="153"/>
      <c r="K25" s="239">
        <f t="shared" si="0"/>
        <v>19</v>
      </c>
      <c r="L25" s="237" t="s">
        <v>2258</v>
      </c>
      <c r="M25" s="237">
        <v>1940</v>
      </c>
      <c r="N25" s="240" t="s">
        <v>600</v>
      </c>
      <c r="O25" s="241" t="s">
        <v>514</v>
      </c>
      <c r="P25" s="240" t="s">
        <v>601</v>
      </c>
      <c r="Q25" s="240" t="s">
        <v>380</v>
      </c>
      <c r="R25" s="238">
        <v>1422545</v>
      </c>
      <c r="S25" s="234" t="s">
        <v>602</v>
      </c>
      <c r="T25" s="235" t="s">
        <v>52</v>
      </c>
      <c r="U25" s="236" t="s">
        <v>51</v>
      </c>
      <c r="V25" s="153"/>
      <c r="W25" s="153"/>
      <c r="X25" s="153"/>
      <c r="Y25" s="153"/>
      <c r="Z25" s="153"/>
      <c r="AA25" s="153"/>
      <c r="AB25" s="153"/>
    </row>
    <row r="26" spans="1:28" ht="30.75" customHeight="1">
      <c r="A26" s="160"/>
      <c r="B26" s="160"/>
      <c r="C26" s="160" t="s">
        <v>2141</v>
      </c>
      <c r="D26" s="160" t="s">
        <v>2142</v>
      </c>
      <c r="E26" s="160" t="s">
        <v>2143</v>
      </c>
      <c r="F26" s="153"/>
      <c r="G26" s="153"/>
      <c r="H26" s="177"/>
      <c r="I26" s="153"/>
      <c r="J26" s="153"/>
      <c r="K26" s="239">
        <f t="shared" si="0"/>
        <v>20</v>
      </c>
      <c r="L26" s="237" t="s">
        <v>2243</v>
      </c>
      <c r="M26" s="237">
        <v>1958</v>
      </c>
      <c r="N26" s="240" t="s">
        <v>555</v>
      </c>
      <c r="O26" s="241" t="s">
        <v>514</v>
      </c>
      <c r="P26" s="240" t="s">
        <v>556</v>
      </c>
      <c r="Q26" s="240" t="s">
        <v>380</v>
      </c>
      <c r="R26" s="238">
        <v>3254852</v>
      </c>
      <c r="S26" s="234" t="s">
        <v>557</v>
      </c>
      <c r="T26" s="235" t="s">
        <v>52</v>
      </c>
      <c r="U26" s="236" t="s">
        <v>51</v>
      </c>
      <c r="V26" s="153"/>
      <c r="W26" s="153"/>
      <c r="X26" s="153"/>
      <c r="Y26" s="153"/>
      <c r="Z26" s="153"/>
      <c r="AA26" s="153"/>
      <c r="AB26" s="153"/>
    </row>
    <row r="27" spans="1:28" ht="30">
      <c r="A27" s="165">
        <v>8</v>
      </c>
      <c r="B27" s="162" t="s">
        <v>15</v>
      </c>
      <c r="C27" s="166">
        <f>'PLAN PRIHODA I PRIMITAKA '!D41</f>
        <v>0</v>
      </c>
      <c r="D27" s="166">
        <f>'PLAN PRIHODA I PRIMITAKA '!D82</f>
        <v>0</v>
      </c>
      <c r="E27" s="166">
        <f>'PLAN PRIHODA I PRIMITAKA '!D123</f>
        <v>0</v>
      </c>
      <c r="F27" s="153"/>
      <c r="G27" s="153"/>
      <c r="H27" s="153"/>
      <c r="I27" s="153"/>
      <c r="J27" s="153"/>
      <c r="K27" s="239">
        <f t="shared" si="0"/>
        <v>21</v>
      </c>
      <c r="L27" s="237" t="s">
        <v>2232</v>
      </c>
      <c r="M27" s="237">
        <v>1966</v>
      </c>
      <c r="N27" s="240" t="s">
        <v>528</v>
      </c>
      <c r="O27" s="241" t="s">
        <v>514</v>
      </c>
      <c r="P27" s="240" t="s">
        <v>529</v>
      </c>
      <c r="Q27" s="240" t="s">
        <v>380</v>
      </c>
      <c r="R27" s="238">
        <v>3219780</v>
      </c>
      <c r="S27" s="234" t="s">
        <v>530</v>
      </c>
      <c r="T27" s="235" t="s">
        <v>52</v>
      </c>
      <c r="U27" s="236" t="s">
        <v>51</v>
      </c>
      <c r="V27" s="153"/>
      <c r="W27" s="153"/>
      <c r="X27" s="153"/>
      <c r="Y27" s="153"/>
      <c r="Z27" s="153"/>
      <c r="AA27" s="153"/>
      <c r="AB27" s="153"/>
    </row>
    <row r="28" spans="1:28" ht="30">
      <c r="A28" s="165">
        <v>5</v>
      </c>
      <c r="B28" s="162" t="s">
        <v>16</v>
      </c>
      <c r="C28" s="166">
        <f>'PLAN RASHODA I IZDATAKA'!D58</f>
        <v>0</v>
      </c>
      <c r="D28" s="166">
        <f>'PLAN RASHODA I IZDATAKA'!D86</f>
        <v>0</v>
      </c>
      <c r="E28" s="166">
        <f>'PLAN RASHODA I IZDATAKA'!D106</f>
        <v>0</v>
      </c>
      <c r="F28" s="178"/>
      <c r="G28" s="153"/>
      <c r="H28" s="153"/>
      <c r="I28" s="153"/>
      <c r="J28" s="153"/>
      <c r="K28" s="239">
        <f t="shared" si="0"/>
        <v>22</v>
      </c>
      <c r="L28" s="237" t="s">
        <v>2229</v>
      </c>
      <c r="M28" s="237">
        <v>1974</v>
      </c>
      <c r="N28" s="240" t="s">
        <v>519</v>
      </c>
      <c r="O28" s="248" t="s">
        <v>514</v>
      </c>
      <c r="P28" s="240" t="s">
        <v>520</v>
      </c>
      <c r="Q28" s="240" t="s">
        <v>380</v>
      </c>
      <c r="R28" s="238">
        <v>3205029</v>
      </c>
      <c r="S28" s="234" t="s">
        <v>521</v>
      </c>
      <c r="T28" s="235" t="s">
        <v>52</v>
      </c>
      <c r="U28" s="236" t="s">
        <v>51</v>
      </c>
      <c r="V28" s="153"/>
      <c r="W28" s="153"/>
      <c r="X28" s="153"/>
      <c r="Y28" s="153"/>
      <c r="Z28" s="153"/>
      <c r="AA28" s="153"/>
      <c r="AB28" s="153"/>
    </row>
    <row r="29" spans="1:28" ht="19.5" customHeight="1">
      <c r="A29" s="162"/>
      <c r="B29" s="162" t="s">
        <v>17</v>
      </c>
      <c r="C29" s="170">
        <f>+C27-C28</f>
        <v>0</v>
      </c>
      <c r="D29" s="170">
        <f>+D27-D28</f>
        <v>0</v>
      </c>
      <c r="E29" s="170">
        <f>+E27-E28</f>
        <v>0</v>
      </c>
      <c r="F29" s="153"/>
      <c r="G29" s="153"/>
      <c r="H29" s="153"/>
      <c r="I29" s="153"/>
      <c r="J29" s="153"/>
      <c r="K29" s="239">
        <f t="shared" si="0"/>
        <v>23</v>
      </c>
      <c r="L29" s="237" t="s">
        <v>2230</v>
      </c>
      <c r="M29" s="237">
        <v>1982</v>
      </c>
      <c r="N29" s="240" t="s">
        <v>522</v>
      </c>
      <c r="O29" s="248" t="s">
        <v>514</v>
      </c>
      <c r="P29" s="240" t="s">
        <v>523</v>
      </c>
      <c r="Q29" s="240" t="s">
        <v>380</v>
      </c>
      <c r="R29" s="238">
        <v>3207919</v>
      </c>
      <c r="S29" s="234" t="s">
        <v>524</v>
      </c>
      <c r="T29" s="235" t="s">
        <v>52</v>
      </c>
      <c r="U29" s="236" t="s">
        <v>51</v>
      </c>
      <c r="V29" s="153"/>
      <c r="W29" s="153"/>
      <c r="X29" s="153"/>
      <c r="Y29" s="153"/>
      <c r="Z29" s="153"/>
      <c r="AA29" s="153"/>
      <c r="AB29" s="153"/>
    </row>
    <row r="30" spans="1:28" ht="19.5" customHeight="1">
      <c r="B30" s="279"/>
      <c r="C30" s="280"/>
      <c r="D30" s="280"/>
      <c r="E30" s="280"/>
      <c r="F30" s="153"/>
      <c r="G30" s="153"/>
      <c r="H30" s="153"/>
      <c r="I30" s="153"/>
      <c r="J30" s="153"/>
      <c r="K30" s="239">
        <f t="shared" si="0"/>
        <v>24</v>
      </c>
      <c r="L30" s="237" t="s">
        <v>2250</v>
      </c>
      <c r="M30" s="237">
        <v>1999</v>
      </c>
      <c r="N30" s="240" t="s">
        <v>579</v>
      </c>
      <c r="O30" s="248" t="s">
        <v>514</v>
      </c>
      <c r="P30" s="240" t="s">
        <v>2165</v>
      </c>
      <c r="Q30" s="240" t="s">
        <v>380</v>
      </c>
      <c r="R30" s="238">
        <v>3205002</v>
      </c>
      <c r="S30" s="234" t="s">
        <v>580</v>
      </c>
      <c r="T30" s="235" t="s">
        <v>52</v>
      </c>
      <c r="U30" s="236" t="s">
        <v>51</v>
      </c>
      <c r="V30" s="153"/>
      <c r="W30" s="153"/>
      <c r="X30" s="153"/>
      <c r="Y30" s="153"/>
      <c r="Z30" s="153"/>
      <c r="AA30" s="153"/>
      <c r="AB30" s="153"/>
    </row>
    <row r="31" spans="1:28" ht="30">
      <c r="A31" s="179"/>
      <c r="B31" s="179" t="s">
        <v>18</v>
      </c>
      <c r="C31" s="180">
        <f>+C20+C23+C24+C29</f>
        <v>0</v>
      </c>
      <c r="D31" s="180">
        <f>+D20+D23+D24+D29</f>
        <v>0</v>
      </c>
      <c r="E31" s="180">
        <f>+E20+E23+E24+E29</f>
        <v>0</v>
      </c>
      <c r="F31" s="153"/>
      <c r="G31" s="181"/>
      <c r="H31" s="153"/>
      <c r="I31" s="153"/>
      <c r="J31" s="153"/>
      <c r="K31" s="239">
        <f t="shared" si="0"/>
        <v>25</v>
      </c>
      <c r="L31" s="237" t="s">
        <v>2247</v>
      </c>
      <c r="M31" s="237">
        <v>2006</v>
      </c>
      <c r="N31" s="240" t="s">
        <v>570</v>
      </c>
      <c r="O31" s="248" t="s">
        <v>514</v>
      </c>
      <c r="P31" s="240" t="s">
        <v>571</v>
      </c>
      <c r="Q31" s="240" t="s">
        <v>380</v>
      </c>
      <c r="R31" s="238">
        <v>3274080</v>
      </c>
      <c r="S31" s="234" t="s">
        <v>572</v>
      </c>
      <c r="T31" s="235" t="s">
        <v>52</v>
      </c>
      <c r="U31" s="236" t="s">
        <v>51</v>
      </c>
      <c r="V31" s="153"/>
      <c r="W31" s="153"/>
      <c r="X31" s="153"/>
      <c r="Y31" s="153"/>
      <c r="Z31" s="153"/>
      <c r="AA31" s="153"/>
      <c r="AB31" s="153"/>
    </row>
    <row r="32" spans="1:28" ht="18.75" customHeight="1">
      <c r="A32" s="159"/>
      <c r="B32" s="159"/>
      <c r="C32" s="153"/>
      <c r="D32" s="153"/>
      <c r="E32" s="153"/>
      <c r="F32" s="153"/>
      <c r="G32" s="153"/>
      <c r="H32" s="153"/>
      <c r="I32" s="153"/>
      <c r="J32" s="153"/>
      <c r="K32" s="239">
        <f t="shared" si="0"/>
        <v>26</v>
      </c>
      <c r="L32" s="237" t="s">
        <v>2242</v>
      </c>
      <c r="M32" s="237">
        <v>2014</v>
      </c>
      <c r="N32" s="240" t="s">
        <v>552</v>
      </c>
      <c r="O32" s="248" t="s">
        <v>514</v>
      </c>
      <c r="P32" s="240" t="s">
        <v>553</v>
      </c>
      <c r="Q32" s="240" t="s">
        <v>380</v>
      </c>
      <c r="R32" s="238">
        <v>3205037</v>
      </c>
      <c r="S32" s="234" t="s">
        <v>554</v>
      </c>
      <c r="T32" s="235" t="s">
        <v>52</v>
      </c>
      <c r="U32" s="236" t="s">
        <v>51</v>
      </c>
      <c r="V32" s="153"/>
      <c r="W32" s="153"/>
      <c r="X32" s="153"/>
      <c r="Y32" s="153"/>
      <c r="Z32" s="153"/>
      <c r="AA32" s="153"/>
      <c r="AB32" s="153"/>
    </row>
    <row r="33" spans="1:28" ht="15">
      <c r="A33" s="182"/>
      <c r="B33" s="182"/>
      <c r="C33" s="182"/>
      <c r="D33" s="182"/>
      <c r="E33" s="182"/>
      <c r="F33" s="182"/>
      <c r="G33" s="183"/>
      <c r="H33" s="183"/>
      <c r="I33" s="183"/>
      <c r="J33" s="183"/>
      <c r="K33" s="239">
        <f t="shared" si="0"/>
        <v>27</v>
      </c>
      <c r="L33" s="237" t="s">
        <v>2259</v>
      </c>
      <c r="M33" s="237">
        <v>2022</v>
      </c>
      <c r="N33" s="240" t="s">
        <v>603</v>
      </c>
      <c r="O33" s="248" t="s">
        <v>514</v>
      </c>
      <c r="P33" s="240" t="s">
        <v>604</v>
      </c>
      <c r="Q33" s="240" t="s">
        <v>380</v>
      </c>
      <c r="R33" s="238">
        <v>3225755</v>
      </c>
      <c r="S33" s="234" t="s">
        <v>605</v>
      </c>
      <c r="T33" s="235" t="s">
        <v>52</v>
      </c>
      <c r="U33" s="236" t="s">
        <v>51</v>
      </c>
      <c r="V33" s="183"/>
      <c r="W33" s="183"/>
      <c r="X33" s="183"/>
      <c r="Y33" s="183"/>
      <c r="Z33" s="183"/>
      <c r="AA33" s="183"/>
      <c r="AB33" s="183"/>
    </row>
    <row r="34" spans="1:28" ht="15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239">
        <f t="shared" si="0"/>
        <v>28</v>
      </c>
      <c r="L34" s="237" t="s">
        <v>2254</v>
      </c>
      <c r="M34" s="237">
        <v>2047</v>
      </c>
      <c r="N34" s="240" t="s">
        <v>589</v>
      </c>
      <c r="O34" s="248" t="s">
        <v>514</v>
      </c>
      <c r="P34" s="240" t="s">
        <v>590</v>
      </c>
      <c r="Q34" s="240" t="s">
        <v>380</v>
      </c>
      <c r="R34" s="238">
        <v>3207005</v>
      </c>
      <c r="S34" s="234" t="s">
        <v>591</v>
      </c>
      <c r="T34" s="235" t="s">
        <v>52</v>
      </c>
      <c r="U34" s="236" t="s">
        <v>51</v>
      </c>
      <c r="V34" s="153"/>
      <c r="W34" s="153"/>
      <c r="X34" s="153"/>
      <c r="Y34" s="153"/>
      <c r="Z34" s="153"/>
      <c r="AA34" s="153"/>
      <c r="AB34" s="153"/>
    </row>
    <row r="35" spans="1:28" ht="15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239">
        <f>1</f>
        <v>1</v>
      </c>
      <c r="L35" s="237" t="s">
        <v>2178</v>
      </c>
      <c r="M35" s="237">
        <v>2063</v>
      </c>
      <c r="N35" s="240" t="s">
        <v>606</v>
      </c>
      <c r="O35" s="248" t="s">
        <v>514</v>
      </c>
      <c r="P35" s="240" t="s">
        <v>607</v>
      </c>
      <c r="Q35" s="240" t="s">
        <v>562</v>
      </c>
      <c r="R35" s="238">
        <v>3006107</v>
      </c>
      <c r="S35" s="234" t="s">
        <v>608</v>
      </c>
      <c r="T35" s="235" t="s">
        <v>52</v>
      </c>
      <c r="U35" s="236" t="s">
        <v>51</v>
      </c>
      <c r="V35" s="153"/>
      <c r="W35" s="153"/>
      <c r="X35" s="153"/>
      <c r="Y35" s="153"/>
      <c r="Z35" s="153"/>
      <c r="AA35" s="153"/>
      <c r="AB35" s="153"/>
    </row>
    <row r="36" spans="1:28" ht="15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239">
        <f t="shared" ref="K36:K67" si="1">+K35+1</f>
        <v>2</v>
      </c>
      <c r="L36" s="237" t="s">
        <v>2249</v>
      </c>
      <c r="M36" s="237">
        <v>2071</v>
      </c>
      <c r="N36" s="240" t="s">
        <v>576</v>
      </c>
      <c r="O36" s="248" t="s">
        <v>514</v>
      </c>
      <c r="P36" s="240" t="s">
        <v>577</v>
      </c>
      <c r="Q36" s="240" t="s">
        <v>2164</v>
      </c>
      <c r="R36" s="238">
        <v>3313786</v>
      </c>
      <c r="S36" s="234" t="s">
        <v>578</v>
      </c>
      <c r="T36" s="235" t="s">
        <v>52</v>
      </c>
      <c r="U36" s="236" t="s">
        <v>51</v>
      </c>
      <c r="V36" s="153"/>
      <c r="W36" s="153"/>
      <c r="X36" s="153"/>
      <c r="Y36" s="153"/>
      <c r="Z36" s="153"/>
      <c r="AA36" s="153"/>
      <c r="AB36" s="153"/>
    </row>
    <row r="37" spans="1:28" ht="15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239">
        <f t="shared" si="1"/>
        <v>3</v>
      </c>
      <c r="L37" s="237" t="s">
        <v>2246</v>
      </c>
      <c r="M37" s="237">
        <v>2080</v>
      </c>
      <c r="N37" s="240" t="s">
        <v>567</v>
      </c>
      <c r="O37" s="248" t="s">
        <v>514</v>
      </c>
      <c r="P37" s="240" t="s">
        <v>568</v>
      </c>
      <c r="Q37" s="240" t="s">
        <v>380</v>
      </c>
      <c r="R37" s="238">
        <v>3219763</v>
      </c>
      <c r="S37" s="234" t="s">
        <v>569</v>
      </c>
      <c r="T37" s="235" t="s">
        <v>52</v>
      </c>
      <c r="U37" s="236" t="s">
        <v>51</v>
      </c>
      <c r="V37" s="153"/>
      <c r="W37" s="153"/>
      <c r="X37" s="153"/>
      <c r="Y37" s="153"/>
      <c r="Z37" s="153"/>
      <c r="AA37" s="153"/>
      <c r="AB37" s="153"/>
    </row>
    <row r="38" spans="1:28" ht="15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239">
        <f t="shared" si="1"/>
        <v>4</v>
      </c>
      <c r="L38" s="237" t="s">
        <v>2179</v>
      </c>
      <c r="M38" s="237">
        <v>2102</v>
      </c>
      <c r="N38" s="240" t="s">
        <v>560</v>
      </c>
      <c r="O38" s="248" t="s">
        <v>514</v>
      </c>
      <c r="P38" s="240" t="s">
        <v>561</v>
      </c>
      <c r="Q38" s="240" t="s">
        <v>562</v>
      </c>
      <c r="R38" s="238">
        <v>3042316</v>
      </c>
      <c r="S38" s="234" t="s">
        <v>563</v>
      </c>
      <c r="T38" s="235" t="s">
        <v>52</v>
      </c>
      <c r="U38" s="236" t="s">
        <v>51</v>
      </c>
      <c r="V38" s="153"/>
      <c r="W38" s="153"/>
      <c r="X38" s="153"/>
      <c r="Y38" s="153"/>
      <c r="Z38" s="153"/>
      <c r="AA38" s="153"/>
      <c r="AB38" s="153"/>
    </row>
    <row r="39" spans="1:28" ht="15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239">
        <f t="shared" si="1"/>
        <v>5</v>
      </c>
      <c r="L39" s="237" t="s">
        <v>2236</v>
      </c>
      <c r="M39" s="237">
        <v>2135</v>
      </c>
      <c r="N39" s="240" t="s">
        <v>538</v>
      </c>
      <c r="O39" s="248" t="s">
        <v>514</v>
      </c>
      <c r="P39" s="240" t="s">
        <v>539</v>
      </c>
      <c r="Q39" s="240" t="s">
        <v>380</v>
      </c>
      <c r="R39" s="238">
        <v>3703088</v>
      </c>
      <c r="S39" s="234">
        <v>48987767944</v>
      </c>
      <c r="T39" s="235" t="s">
        <v>52</v>
      </c>
      <c r="U39" s="236" t="s">
        <v>51</v>
      </c>
      <c r="V39" s="153"/>
      <c r="W39" s="153"/>
      <c r="X39" s="153"/>
      <c r="Y39" s="153"/>
      <c r="Z39" s="153"/>
      <c r="AA39" s="153"/>
      <c r="AB39" s="153"/>
    </row>
    <row r="40" spans="1:28" ht="15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239">
        <f t="shared" si="1"/>
        <v>6</v>
      </c>
      <c r="L40" s="237" t="s">
        <v>2209</v>
      </c>
      <c r="M40" s="237">
        <v>2151</v>
      </c>
      <c r="N40" s="240" t="s">
        <v>466</v>
      </c>
      <c r="O40" s="158" t="s">
        <v>435</v>
      </c>
      <c r="P40" s="240" t="s">
        <v>467</v>
      </c>
      <c r="Q40" s="240" t="s">
        <v>437</v>
      </c>
      <c r="R40" s="238">
        <v>3334317</v>
      </c>
      <c r="S40" s="234" t="s">
        <v>468</v>
      </c>
      <c r="T40" s="235" t="s">
        <v>52</v>
      </c>
      <c r="U40" s="236" t="s">
        <v>51</v>
      </c>
      <c r="V40" s="153"/>
      <c r="W40" s="153"/>
      <c r="X40" s="153"/>
      <c r="Y40" s="153"/>
      <c r="Z40" s="153"/>
      <c r="AA40" s="153"/>
      <c r="AB40" s="153"/>
    </row>
    <row r="41" spans="1:28" ht="15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239">
        <f t="shared" si="1"/>
        <v>7</v>
      </c>
      <c r="L41" s="237" t="s">
        <v>2204</v>
      </c>
      <c r="M41" s="237">
        <v>2160</v>
      </c>
      <c r="N41" s="240" t="s">
        <v>2153</v>
      </c>
      <c r="O41" s="247" t="s">
        <v>435</v>
      </c>
      <c r="P41" s="240" t="s">
        <v>452</v>
      </c>
      <c r="Q41" s="240" t="s">
        <v>437</v>
      </c>
      <c r="R41" s="238">
        <v>3395855</v>
      </c>
      <c r="S41" s="234" t="s">
        <v>453</v>
      </c>
      <c r="T41" s="235" t="s">
        <v>52</v>
      </c>
      <c r="U41" s="236" t="s">
        <v>51</v>
      </c>
      <c r="V41" s="153"/>
      <c r="W41" s="153"/>
      <c r="X41" s="153"/>
      <c r="Y41" s="153"/>
      <c r="Z41" s="153"/>
      <c r="AA41" s="153"/>
      <c r="AB41" s="153"/>
    </row>
    <row r="42" spans="1:28" ht="15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239">
        <f t="shared" si="1"/>
        <v>8</v>
      </c>
      <c r="L42" s="237" t="s">
        <v>2201</v>
      </c>
      <c r="M42" s="237">
        <v>2186</v>
      </c>
      <c r="N42" s="240" t="s">
        <v>442</v>
      </c>
      <c r="O42" s="247" t="s">
        <v>435</v>
      </c>
      <c r="P42" s="240" t="s">
        <v>443</v>
      </c>
      <c r="Q42" s="240" t="s">
        <v>437</v>
      </c>
      <c r="R42" s="238">
        <v>3328627</v>
      </c>
      <c r="S42" s="234" t="s">
        <v>444</v>
      </c>
      <c r="T42" s="235" t="s">
        <v>52</v>
      </c>
      <c r="U42" s="236" t="s">
        <v>51</v>
      </c>
      <c r="V42" s="153"/>
      <c r="W42" s="153"/>
      <c r="X42" s="153"/>
      <c r="Y42" s="153"/>
      <c r="Z42" s="153"/>
      <c r="AA42" s="153"/>
      <c r="AB42" s="153"/>
    </row>
    <row r="43" spans="1:28" ht="15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239">
        <f t="shared" si="1"/>
        <v>9</v>
      </c>
      <c r="L43" s="237" t="s">
        <v>2202</v>
      </c>
      <c r="M43" s="237">
        <v>2194</v>
      </c>
      <c r="N43" s="240" t="s">
        <v>445</v>
      </c>
      <c r="O43" s="247" t="s">
        <v>435</v>
      </c>
      <c r="P43" s="240" t="s">
        <v>446</v>
      </c>
      <c r="Q43" s="240" t="s">
        <v>447</v>
      </c>
      <c r="R43" s="238">
        <v>3091732</v>
      </c>
      <c r="S43" s="234" t="s">
        <v>448</v>
      </c>
      <c r="T43" s="235" t="s">
        <v>52</v>
      </c>
      <c r="U43" s="236" t="s">
        <v>51</v>
      </c>
      <c r="V43" s="153"/>
      <c r="W43" s="153"/>
      <c r="X43" s="153"/>
      <c r="Y43" s="153"/>
      <c r="Z43" s="153"/>
      <c r="AA43" s="153"/>
      <c r="AB43" s="153"/>
    </row>
    <row r="44" spans="1:28" ht="15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239">
        <f t="shared" si="1"/>
        <v>10</v>
      </c>
      <c r="L44" s="237" t="s">
        <v>2207</v>
      </c>
      <c r="M44" s="237">
        <v>2217</v>
      </c>
      <c r="N44" s="240" t="s">
        <v>460</v>
      </c>
      <c r="O44" s="247" t="s">
        <v>435</v>
      </c>
      <c r="P44" s="240" t="s">
        <v>461</v>
      </c>
      <c r="Q44" s="240" t="s">
        <v>437</v>
      </c>
      <c r="R44" s="238">
        <v>3328562</v>
      </c>
      <c r="S44" s="234" t="s">
        <v>462</v>
      </c>
      <c r="T44" s="235" t="s">
        <v>52</v>
      </c>
      <c r="U44" s="236" t="s">
        <v>51</v>
      </c>
      <c r="V44" s="153"/>
      <c r="W44" s="153"/>
      <c r="X44" s="153"/>
      <c r="Y44" s="153"/>
      <c r="Z44" s="153"/>
      <c r="AA44" s="153"/>
      <c r="AB44" s="153"/>
    </row>
    <row r="45" spans="1:28" ht="15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239">
        <f t="shared" si="1"/>
        <v>11</v>
      </c>
      <c r="L45" s="237" t="s">
        <v>2205</v>
      </c>
      <c r="M45" s="237">
        <v>2225</v>
      </c>
      <c r="N45" s="240" t="s">
        <v>454</v>
      </c>
      <c r="O45" s="247" t="s">
        <v>435</v>
      </c>
      <c r="P45" s="240" t="s">
        <v>455</v>
      </c>
      <c r="Q45" s="240" t="s">
        <v>437</v>
      </c>
      <c r="R45" s="238">
        <v>3328554</v>
      </c>
      <c r="S45" s="234" t="s">
        <v>456</v>
      </c>
      <c r="T45" s="235" t="s">
        <v>52</v>
      </c>
      <c r="U45" s="236" t="s">
        <v>51</v>
      </c>
      <c r="V45" s="153"/>
      <c r="W45" s="153"/>
      <c r="X45" s="153"/>
      <c r="Y45" s="153"/>
      <c r="Z45" s="153"/>
      <c r="AA45" s="153"/>
      <c r="AB45" s="153"/>
    </row>
    <row r="46" spans="1:28" ht="15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239">
        <f t="shared" si="1"/>
        <v>12</v>
      </c>
      <c r="L46" s="237" t="s">
        <v>2186</v>
      </c>
      <c r="M46" s="237">
        <v>2250</v>
      </c>
      <c r="N46" s="240" t="s">
        <v>2147</v>
      </c>
      <c r="O46" s="247" t="s">
        <v>381</v>
      </c>
      <c r="P46" s="240" t="s">
        <v>2148</v>
      </c>
      <c r="Q46" s="240" t="s">
        <v>383</v>
      </c>
      <c r="R46" s="238">
        <v>3397335</v>
      </c>
      <c r="S46" s="234" t="s">
        <v>396</v>
      </c>
      <c r="T46" s="235" t="s">
        <v>52</v>
      </c>
      <c r="U46" s="236" t="s">
        <v>51</v>
      </c>
      <c r="V46" s="153"/>
      <c r="W46" s="153"/>
      <c r="X46" s="153"/>
      <c r="Y46" s="153"/>
      <c r="Z46" s="153"/>
      <c r="AA46" s="153"/>
      <c r="AB46" s="153"/>
    </row>
    <row r="47" spans="1:28" ht="15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239">
        <f t="shared" si="1"/>
        <v>13</v>
      </c>
      <c r="L47" s="237" t="s">
        <v>2188</v>
      </c>
      <c r="M47" s="237">
        <v>2268</v>
      </c>
      <c r="N47" s="240" t="s">
        <v>2149</v>
      </c>
      <c r="O47" s="247" t="s">
        <v>381</v>
      </c>
      <c r="P47" s="240" t="s">
        <v>400</v>
      </c>
      <c r="Q47" s="240" t="s">
        <v>383</v>
      </c>
      <c r="R47" s="238">
        <v>3058212</v>
      </c>
      <c r="S47" s="234" t="s">
        <v>401</v>
      </c>
      <c r="T47" s="235" t="s">
        <v>52</v>
      </c>
      <c r="U47" s="236" t="s">
        <v>51</v>
      </c>
      <c r="V47" s="153"/>
      <c r="W47" s="153"/>
      <c r="X47" s="153"/>
      <c r="Y47" s="153"/>
      <c r="Z47" s="153"/>
      <c r="AA47" s="153"/>
      <c r="AB47" s="153"/>
    </row>
    <row r="48" spans="1:28" ht="15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239">
        <f t="shared" si="1"/>
        <v>14</v>
      </c>
      <c r="L48" s="237" t="s">
        <v>2190</v>
      </c>
      <c r="M48" s="237">
        <v>2276</v>
      </c>
      <c r="N48" s="240" t="s">
        <v>406</v>
      </c>
      <c r="O48" s="247" t="s">
        <v>381</v>
      </c>
      <c r="P48" s="240" t="s">
        <v>407</v>
      </c>
      <c r="Q48" s="240" t="s">
        <v>383</v>
      </c>
      <c r="R48" s="238">
        <v>3058204</v>
      </c>
      <c r="S48" s="234" t="s">
        <v>408</v>
      </c>
      <c r="T48" s="235" t="s">
        <v>52</v>
      </c>
      <c r="U48" s="236" t="s">
        <v>51</v>
      </c>
      <c r="V48" s="153"/>
      <c r="W48" s="153"/>
      <c r="X48" s="153"/>
      <c r="Y48" s="153"/>
      <c r="Z48" s="153"/>
      <c r="AA48" s="153"/>
      <c r="AB48" s="153"/>
    </row>
    <row r="49" spans="1:28" ht="15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239">
        <f t="shared" si="1"/>
        <v>15</v>
      </c>
      <c r="L49" s="237" t="s">
        <v>2182</v>
      </c>
      <c r="M49" s="237">
        <v>2284</v>
      </c>
      <c r="N49" s="240" t="s">
        <v>385</v>
      </c>
      <c r="O49" s="247" t="s">
        <v>381</v>
      </c>
      <c r="P49" s="240" t="s">
        <v>386</v>
      </c>
      <c r="Q49" s="240" t="s">
        <v>383</v>
      </c>
      <c r="R49" s="238">
        <v>3021645</v>
      </c>
      <c r="S49" s="234" t="s">
        <v>387</v>
      </c>
      <c r="T49" s="235" t="s">
        <v>52</v>
      </c>
      <c r="U49" s="236" t="s">
        <v>51</v>
      </c>
      <c r="V49" s="153"/>
      <c r="W49" s="153"/>
      <c r="X49" s="153"/>
      <c r="Y49" s="153"/>
      <c r="Z49" s="153"/>
      <c r="AA49" s="153"/>
      <c r="AB49" s="153"/>
    </row>
    <row r="50" spans="1:28" ht="15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239">
        <f t="shared" si="1"/>
        <v>16</v>
      </c>
      <c r="L50" s="237" t="s">
        <v>2189</v>
      </c>
      <c r="M50" s="237">
        <v>2292</v>
      </c>
      <c r="N50" s="240" t="s">
        <v>402</v>
      </c>
      <c r="O50" s="247" t="s">
        <v>381</v>
      </c>
      <c r="P50" s="240" t="s">
        <v>403</v>
      </c>
      <c r="Q50" s="240" t="s">
        <v>404</v>
      </c>
      <c r="R50" s="238">
        <v>3014193</v>
      </c>
      <c r="S50" s="234" t="s">
        <v>405</v>
      </c>
      <c r="T50" s="235" t="s">
        <v>52</v>
      </c>
      <c r="U50" s="236" t="s">
        <v>51</v>
      </c>
      <c r="V50" s="153"/>
      <c r="W50" s="153"/>
      <c r="X50" s="153"/>
      <c r="Y50" s="153"/>
      <c r="Z50" s="153"/>
      <c r="AA50" s="153"/>
      <c r="AB50" s="153"/>
    </row>
    <row r="51" spans="1:28" ht="15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239">
        <f t="shared" si="1"/>
        <v>17</v>
      </c>
      <c r="L51" s="237" t="s">
        <v>2183</v>
      </c>
      <c r="M51" s="237">
        <v>2313</v>
      </c>
      <c r="N51" s="240" t="s">
        <v>2146</v>
      </c>
      <c r="O51" s="247" t="s">
        <v>381</v>
      </c>
      <c r="P51" s="240" t="s">
        <v>388</v>
      </c>
      <c r="Q51" s="240" t="s">
        <v>383</v>
      </c>
      <c r="R51" s="238">
        <v>3392589</v>
      </c>
      <c r="S51" s="234" t="s">
        <v>389</v>
      </c>
      <c r="T51" s="235" t="s">
        <v>52</v>
      </c>
      <c r="U51" s="236" t="s">
        <v>51</v>
      </c>
      <c r="V51" s="153"/>
      <c r="W51" s="153"/>
      <c r="X51" s="153"/>
      <c r="Y51" s="153"/>
      <c r="Z51" s="153"/>
      <c r="AA51" s="153"/>
      <c r="AB51" s="153"/>
    </row>
    <row r="52" spans="1:28" ht="15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239">
        <f t="shared" si="1"/>
        <v>18</v>
      </c>
      <c r="L52" s="237" t="s">
        <v>2184</v>
      </c>
      <c r="M52" s="237">
        <v>2321</v>
      </c>
      <c r="N52" s="240" t="s">
        <v>390</v>
      </c>
      <c r="O52" s="247" t="s">
        <v>381</v>
      </c>
      <c r="P52" s="240" t="s">
        <v>391</v>
      </c>
      <c r="Q52" s="240" t="s">
        <v>383</v>
      </c>
      <c r="R52" s="238">
        <v>3014185</v>
      </c>
      <c r="S52" s="234" t="s">
        <v>392</v>
      </c>
      <c r="T52" s="235" t="s">
        <v>52</v>
      </c>
      <c r="U52" s="236" t="s">
        <v>51</v>
      </c>
      <c r="V52" s="153"/>
      <c r="W52" s="153"/>
      <c r="X52" s="153"/>
      <c r="Y52" s="153"/>
      <c r="Z52" s="153"/>
      <c r="AA52" s="153"/>
      <c r="AB52" s="153"/>
    </row>
    <row r="53" spans="1:28" ht="15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239">
        <f t="shared" si="1"/>
        <v>19</v>
      </c>
      <c r="L53" s="237" t="s">
        <v>2214</v>
      </c>
      <c r="M53" s="237">
        <v>2330</v>
      </c>
      <c r="N53" s="240" t="s">
        <v>482</v>
      </c>
      <c r="O53" s="241" t="s">
        <v>476</v>
      </c>
      <c r="P53" s="240" t="s">
        <v>483</v>
      </c>
      <c r="Q53" s="240" t="s">
        <v>477</v>
      </c>
      <c r="R53" s="238">
        <v>3118339</v>
      </c>
      <c r="S53" s="234" t="s">
        <v>484</v>
      </c>
      <c r="T53" s="235" t="s">
        <v>52</v>
      </c>
      <c r="U53" s="236" t="s">
        <v>51</v>
      </c>
      <c r="V53" s="153"/>
      <c r="W53" s="153"/>
      <c r="X53" s="153"/>
      <c r="Y53" s="153"/>
      <c r="Z53" s="153"/>
      <c r="AA53" s="153"/>
      <c r="AB53" s="153"/>
    </row>
    <row r="54" spans="1:28" ht="15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239">
        <f t="shared" si="1"/>
        <v>20</v>
      </c>
      <c r="L54" s="237" t="s">
        <v>2216</v>
      </c>
      <c r="M54" s="237">
        <v>2348</v>
      </c>
      <c r="N54" s="240" t="s">
        <v>488</v>
      </c>
      <c r="O54" s="241" t="s">
        <v>476</v>
      </c>
      <c r="P54" s="240" t="s">
        <v>489</v>
      </c>
      <c r="Q54" s="240" t="s">
        <v>477</v>
      </c>
      <c r="R54" s="238">
        <v>3149463</v>
      </c>
      <c r="S54" s="234" t="s">
        <v>490</v>
      </c>
      <c r="T54" s="235" t="s">
        <v>52</v>
      </c>
      <c r="U54" s="236" t="s">
        <v>51</v>
      </c>
      <c r="V54" s="153"/>
      <c r="W54" s="153"/>
      <c r="X54" s="153"/>
      <c r="Y54" s="153"/>
      <c r="Z54" s="153"/>
      <c r="AA54" s="153"/>
      <c r="AB54" s="153"/>
    </row>
    <row r="55" spans="1:28" ht="15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239">
        <f t="shared" si="1"/>
        <v>21</v>
      </c>
      <c r="L55" s="237" t="s">
        <v>2217</v>
      </c>
      <c r="M55" s="237">
        <v>2356</v>
      </c>
      <c r="N55" s="240" t="s">
        <v>491</v>
      </c>
      <c r="O55" s="241" t="s">
        <v>476</v>
      </c>
      <c r="P55" s="240" t="s">
        <v>2154</v>
      </c>
      <c r="Q55" s="240" t="s">
        <v>477</v>
      </c>
      <c r="R55" s="238">
        <v>3119068</v>
      </c>
      <c r="S55" s="234" t="s">
        <v>492</v>
      </c>
      <c r="T55" s="235" t="s">
        <v>52</v>
      </c>
      <c r="U55" s="236" t="s">
        <v>51</v>
      </c>
      <c r="V55" s="153"/>
      <c r="W55" s="153"/>
      <c r="X55" s="153"/>
      <c r="Y55" s="153"/>
      <c r="Z55" s="153"/>
      <c r="AA55" s="153"/>
      <c r="AB55" s="153"/>
    </row>
    <row r="56" spans="1:28" ht="15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239">
        <f t="shared" si="1"/>
        <v>22</v>
      </c>
      <c r="L56" s="237" t="s">
        <v>2213</v>
      </c>
      <c r="M56" s="237">
        <v>2372</v>
      </c>
      <c r="N56" s="240" t="s">
        <v>479</v>
      </c>
      <c r="O56" s="241" t="s">
        <v>476</v>
      </c>
      <c r="P56" s="240" t="s">
        <v>480</v>
      </c>
      <c r="Q56" s="240" t="s">
        <v>477</v>
      </c>
      <c r="R56" s="238">
        <v>3119076</v>
      </c>
      <c r="S56" s="234" t="s">
        <v>481</v>
      </c>
      <c r="T56" s="235" t="s">
        <v>52</v>
      </c>
      <c r="U56" s="236" t="s">
        <v>51</v>
      </c>
      <c r="V56" s="153"/>
      <c r="W56" s="153"/>
      <c r="X56" s="153"/>
      <c r="Y56" s="153"/>
      <c r="Z56" s="153"/>
      <c r="AA56" s="153"/>
      <c r="AB56" s="153"/>
    </row>
    <row r="57" spans="1:28" ht="15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239">
        <f t="shared" si="1"/>
        <v>23</v>
      </c>
      <c r="L57" s="237" t="s">
        <v>2222</v>
      </c>
      <c r="M57" s="237">
        <v>2397</v>
      </c>
      <c r="N57" s="240" t="s">
        <v>503</v>
      </c>
      <c r="O57" s="241" t="s">
        <v>476</v>
      </c>
      <c r="P57" s="240" t="s">
        <v>504</v>
      </c>
      <c r="Q57" s="240" t="s">
        <v>477</v>
      </c>
      <c r="R57" s="238">
        <v>3118347</v>
      </c>
      <c r="S57" s="234" t="s">
        <v>505</v>
      </c>
      <c r="T57" s="235" t="s">
        <v>52</v>
      </c>
      <c r="U57" s="236" t="s">
        <v>51</v>
      </c>
      <c r="V57" s="153"/>
      <c r="W57" s="153"/>
      <c r="X57" s="153"/>
      <c r="Y57" s="153"/>
      <c r="Z57" s="153"/>
      <c r="AA57" s="153"/>
      <c r="AB57" s="153"/>
    </row>
    <row r="58" spans="1:28" ht="15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239">
        <f t="shared" si="1"/>
        <v>24</v>
      </c>
      <c r="L58" s="237" t="s">
        <v>2223</v>
      </c>
      <c r="M58" s="237">
        <v>2410</v>
      </c>
      <c r="N58" s="240" t="s">
        <v>506</v>
      </c>
      <c r="O58" s="241" t="s">
        <v>476</v>
      </c>
      <c r="P58" s="240" t="s">
        <v>2156</v>
      </c>
      <c r="Q58" s="240" t="s">
        <v>477</v>
      </c>
      <c r="R58" s="238">
        <v>3199622</v>
      </c>
      <c r="S58" s="234" t="s">
        <v>507</v>
      </c>
      <c r="T58" s="235" t="s">
        <v>52</v>
      </c>
      <c r="U58" s="236" t="s">
        <v>51</v>
      </c>
      <c r="V58" s="153"/>
      <c r="W58" s="153"/>
      <c r="X58" s="153"/>
      <c r="Y58" s="153"/>
      <c r="Z58" s="153"/>
      <c r="AA58" s="153"/>
      <c r="AB58" s="153"/>
    </row>
    <row r="59" spans="1:28" ht="15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239">
        <f t="shared" si="1"/>
        <v>25</v>
      </c>
      <c r="L59" s="237" t="s">
        <v>2227</v>
      </c>
      <c r="M59" s="237">
        <v>2436</v>
      </c>
      <c r="N59" s="240" t="s">
        <v>514</v>
      </c>
      <c r="O59" s="241" t="s">
        <v>514</v>
      </c>
      <c r="P59" s="240" t="s">
        <v>582</v>
      </c>
      <c r="Q59" s="240" t="s">
        <v>380</v>
      </c>
      <c r="R59" s="238">
        <v>3211592</v>
      </c>
      <c r="S59" s="234" t="s">
        <v>515</v>
      </c>
      <c r="T59" s="235" t="s">
        <v>52</v>
      </c>
      <c r="U59" s="236" t="s">
        <v>51</v>
      </c>
      <c r="V59" s="153"/>
      <c r="W59" s="153"/>
      <c r="X59" s="153"/>
      <c r="Y59" s="153"/>
      <c r="Z59" s="153"/>
      <c r="AA59" s="153"/>
      <c r="AB59" s="153"/>
    </row>
    <row r="60" spans="1:28" ht="15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239">
        <f t="shared" si="1"/>
        <v>26</v>
      </c>
      <c r="L60" s="237" t="s">
        <v>2199</v>
      </c>
      <c r="M60" s="237">
        <v>2444</v>
      </c>
      <c r="N60" s="240" t="s">
        <v>435</v>
      </c>
      <c r="O60" s="247" t="s">
        <v>435</v>
      </c>
      <c r="P60" s="240" t="s">
        <v>436</v>
      </c>
      <c r="Q60" s="240" t="s">
        <v>437</v>
      </c>
      <c r="R60" s="238">
        <v>3337413</v>
      </c>
      <c r="S60" s="234" t="s">
        <v>438</v>
      </c>
      <c r="T60" s="235" t="s">
        <v>52</v>
      </c>
      <c r="U60" s="236" t="s">
        <v>51</v>
      </c>
      <c r="V60" s="153"/>
      <c r="W60" s="153"/>
      <c r="X60" s="153"/>
      <c r="Y60" s="153"/>
      <c r="Z60" s="153"/>
      <c r="AA60" s="153"/>
      <c r="AB60" s="153"/>
    </row>
    <row r="61" spans="1:28" ht="15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239">
        <f t="shared" si="1"/>
        <v>27</v>
      </c>
      <c r="L61" s="237" t="s">
        <v>2181</v>
      </c>
      <c r="M61" s="237">
        <v>2452</v>
      </c>
      <c r="N61" s="240" t="s">
        <v>381</v>
      </c>
      <c r="O61" s="247" t="s">
        <v>381</v>
      </c>
      <c r="P61" s="240" t="s">
        <v>382</v>
      </c>
      <c r="Q61" s="240" t="s">
        <v>383</v>
      </c>
      <c r="R61" s="238">
        <v>3049779</v>
      </c>
      <c r="S61" s="234" t="s">
        <v>384</v>
      </c>
      <c r="T61" s="235" t="s">
        <v>52</v>
      </c>
      <c r="U61" s="236" t="s">
        <v>51</v>
      </c>
      <c r="V61" s="153"/>
      <c r="W61" s="153"/>
      <c r="X61" s="153"/>
      <c r="Y61" s="153"/>
      <c r="Z61" s="153"/>
      <c r="AA61" s="153"/>
      <c r="AB61" s="153"/>
    </row>
    <row r="62" spans="1:28" ht="15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239">
        <f t="shared" si="1"/>
        <v>28</v>
      </c>
      <c r="L62" s="237" t="s">
        <v>2212</v>
      </c>
      <c r="M62" s="237">
        <v>2469</v>
      </c>
      <c r="N62" s="240" t="s">
        <v>476</v>
      </c>
      <c r="O62" s="241" t="s">
        <v>476</v>
      </c>
      <c r="P62" s="240" t="s">
        <v>486</v>
      </c>
      <c r="Q62" s="240" t="s">
        <v>477</v>
      </c>
      <c r="R62" s="238">
        <v>3129306</v>
      </c>
      <c r="S62" s="234" t="s">
        <v>478</v>
      </c>
      <c r="T62" s="235" t="s">
        <v>52</v>
      </c>
      <c r="U62" s="236" t="s">
        <v>51</v>
      </c>
      <c r="V62" s="153"/>
      <c r="W62" s="153"/>
      <c r="X62" s="153"/>
      <c r="Y62" s="153"/>
      <c r="Z62" s="153"/>
      <c r="AA62" s="153"/>
      <c r="AB62" s="153"/>
    </row>
    <row r="63" spans="1:28" ht="15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239">
        <f t="shared" si="1"/>
        <v>29</v>
      </c>
      <c r="L63" s="237" t="s">
        <v>2208</v>
      </c>
      <c r="M63" s="237">
        <v>2493</v>
      </c>
      <c r="N63" s="240" t="s">
        <v>463</v>
      </c>
      <c r="O63" s="247" t="s">
        <v>435</v>
      </c>
      <c r="P63" s="240" t="s">
        <v>464</v>
      </c>
      <c r="Q63" s="240" t="s">
        <v>437</v>
      </c>
      <c r="R63" s="238">
        <v>3328686</v>
      </c>
      <c r="S63" s="234" t="s">
        <v>465</v>
      </c>
      <c r="T63" s="235" t="s">
        <v>52</v>
      </c>
      <c r="U63" s="236" t="s">
        <v>51</v>
      </c>
      <c r="V63" s="153"/>
      <c r="W63" s="153"/>
      <c r="X63" s="153"/>
      <c r="Y63" s="153"/>
      <c r="Z63" s="153"/>
      <c r="AA63" s="153"/>
      <c r="AB63" s="153"/>
    </row>
    <row r="64" spans="1:28" ht="15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239">
        <f t="shared" si="1"/>
        <v>30</v>
      </c>
      <c r="L64" s="237" t="s">
        <v>2185</v>
      </c>
      <c r="M64" s="237">
        <v>2508</v>
      </c>
      <c r="N64" s="242" t="s">
        <v>393</v>
      </c>
      <c r="O64" s="247" t="s">
        <v>381</v>
      </c>
      <c r="P64" s="242" t="s">
        <v>394</v>
      </c>
      <c r="Q64" s="242" t="s">
        <v>383</v>
      </c>
      <c r="R64" s="243">
        <v>3014347</v>
      </c>
      <c r="S64" s="234" t="s">
        <v>395</v>
      </c>
      <c r="T64" s="235" t="s">
        <v>52</v>
      </c>
      <c r="U64" s="236" t="s">
        <v>51</v>
      </c>
      <c r="V64" s="153"/>
      <c r="W64" s="153"/>
      <c r="X64" s="153"/>
      <c r="Y64" s="153"/>
      <c r="Z64" s="153"/>
      <c r="AA64" s="153"/>
      <c r="AB64" s="153"/>
    </row>
    <row r="65" spans="1:28" ht="15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239">
        <f t="shared" si="1"/>
        <v>31</v>
      </c>
      <c r="L65" s="237" t="s">
        <v>2224</v>
      </c>
      <c r="M65" s="237">
        <v>2524</v>
      </c>
      <c r="N65" s="240" t="s">
        <v>508</v>
      </c>
      <c r="O65" s="241" t="s">
        <v>476</v>
      </c>
      <c r="P65" s="240" t="s">
        <v>509</v>
      </c>
      <c r="Q65" s="240" t="s">
        <v>477</v>
      </c>
      <c r="R65" s="238">
        <v>3118436</v>
      </c>
      <c r="S65" s="234" t="s">
        <v>510</v>
      </c>
      <c r="T65" s="235" t="s">
        <v>52</v>
      </c>
      <c r="U65" s="236" t="s">
        <v>51</v>
      </c>
      <c r="V65" s="153"/>
      <c r="W65" s="153"/>
      <c r="X65" s="153"/>
      <c r="Y65" s="153"/>
      <c r="Z65" s="153"/>
      <c r="AA65" s="153"/>
      <c r="AB65" s="153"/>
    </row>
    <row r="66" spans="1:28" ht="15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239">
        <f t="shared" si="1"/>
        <v>32</v>
      </c>
      <c r="L66" s="237" t="s">
        <v>2235</v>
      </c>
      <c r="M66" s="237">
        <v>6154</v>
      </c>
      <c r="N66" s="240" t="s">
        <v>2159</v>
      </c>
      <c r="O66" s="241" t="s">
        <v>514</v>
      </c>
      <c r="P66" s="240" t="s">
        <v>536</v>
      </c>
      <c r="Q66" s="240" t="s">
        <v>380</v>
      </c>
      <c r="R66" s="238">
        <v>1235664</v>
      </c>
      <c r="S66" s="234" t="s">
        <v>537</v>
      </c>
      <c r="T66" s="235" t="s">
        <v>52</v>
      </c>
      <c r="U66" s="236" t="s">
        <v>51</v>
      </c>
      <c r="V66" s="153"/>
      <c r="W66" s="153"/>
      <c r="X66" s="153"/>
      <c r="Y66" s="153"/>
      <c r="Z66" s="153"/>
      <c r="AA66" s="153"/>
      <c r="AB66" s="153"/>
    </row>
    <row r="67" spans="1:28" ht="15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239">
        <f t="shared" si="1"/>
        <v>33</v>
      </c>
      <c r="L67" s="237" t="s">
        <v>2264</v>
      </c>
      <c r="M67" s="237">
        <v>21053</v>
      </c>
      <c r="N67" s="240" t="s">
        <v>629</v>
      </c>
      <c r="O67" s="241" t="s">
        <v>610</v>
      </c>
      <c r="P67" s="240" t="s">
        <v>630</v>
      </c>
      <c r="Q67" s="240" t="s">
        <v>631</v>
      </c>
      <c r="R67" s="238">
        <v>1286030</v>
      </c>
      <c r="S67" s="234" t="s">
        <v>632</v>
      </c>
      <c r="T67" s="235" t="s">
        <v>52</v>
      </c>
      <c r="U67" s="236" t="s">
        <v>51</v>
      </c>
      <c r="V67" s="153"/>
      <c r="W67" s="153"/>
      <c r="X67" s="153"/>
      <c r="Y67" s="153"/>
      <c r="Z67" s="153"/>
      <c r="AA67" s="153"/>
      <c r="AB67" s="153"/>
    </row>
    <row r="68" spans="1:28" ht="15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239">
        <f t="shared" ref="K68:K99" si="2">+K67+1</f>
        <v>34</v>
      </c>
      <c r="L68" s="237" t="s">
        <v>2270</v>
      </c>
      <c r="M68" s="237">
        <v>22371</v>
      </c>
      <c r="N68" s="240" t="s">
        <v>648</v>
      </c>
      <c r="O68" s="241" t="s">
        <v>610</v>
      </c>
      <c r="P68" s="240" t="s">
        <v>649</v>
      </c>
      <c r="Q68" s="240" t="s">
        <v>650</v>
      </c>
      <c r="R68" s="238">
        <v>1411942</v>
      </c>
      <c r="S68" s="234" t="s">
        <v>651</v>
      </c>
      <c r="T68" s="235" t="s">
        <v>52</v>
      </c>
      <c r="U68" s="236" t="s">
        <v>51</v>
      </c>
      <c r="V68" s="153"/>
      <c r="W68" s="153"/>
      <c r="X68" s="153"/>
      <c r="Y68" s="153"/>
      <c r="Z68" s="153"/>
      <c r="AA68" s="153"/>
      <c r="AB68" s="153"/>
    </row>
    <row r="69" spans="1:28" ht="15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239">
        <f t="shared" si="2"/>
        <v>35</v>
      </c>
      <c r="L69" s="237" t="s">
        <v>2265</v>
      </c>
      <c r="M69" s="237">
        <v>22398</v>
      </c>
      <c r="N69" s="240" t="s">
        <v>633</v>
      </c>
      <c r="O69" s="241" t="s">
        <v>610</v>
      </c>
      <c r="P69" s="240" t="s">
        <v>634</v>
      </c>
      <c r="Q69" s="240" t="s">
        <v>635</v>
      </c>
      <c r="R69" s="238">
        <v>1395521</v>
      </c>
      <c r="S69" s="234" t="s">
        <v>636</v>
      </c>
      <c r="T69" s="235" t="s">
        <v>52</v>
      </c>
      <c r="U69" s="236" t="s">
        <v>51</v>
      </c>
      <c r="V69" s="153"/>
      <c r="W69" s="153"/>
      <c r="X69" s="153"/>
      <c r="Y69" s="153"/>
      <c r="Z69" s="153"/>
      <c r="AA69" s="153"/>
      <c r="AB69" s="153"/>
    </row>
    <row r="70" spans="1:28" ht="15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239">
        <f t="shared" si="2"/>
        <v>36</v>
      </c>
      <c r="L70" s="237" t="s">
        <v>2260</v>
      </c>
      <c r="M70" s="237">
        <v>22427</v>
      </c>
      <c r="N70" s="240" t="s">
        <v>614</v>
      </c>
      <c r="O70" s="241" t="s">
        <v>610</v>
      </c>
      <c r="P70" s="240" t="s">
        <v>615</v>
      </c>
      <c r="Q70" s="240" t="s">
        <v>380</v>
      </c>
      <c r="R70" s="238">
        <v>1398270</v>
      </c>
      <c r="S70" s="234" t="s">
        <v>616</v>
      </c>
      <c r="T70" s="235" t="s">
        <v>52</v>
      </c>
      <c r="U70" s="236" t="s">
        <v>51</v>
      </c>
      <c r="V70" s="153"/>
      <c r="W70" s="153"/>
      <c r="X70" s="153"/>
      <c r="Y70" s="153"/>
      <c r="Z70" s="153"/>
      <c r="AA70" s="153"/>
      <c r="AB70" s="153"/>
    </row>
    <row r="71" spans="1:28" ht="15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239">
        <f t="shared" si="2"/>
        <v>37</v>
      </c>
      <c r="L71" s="237" t="s">
        <v>2215</v>
      </c>
      <c r="M71" s="237">
        <v>22435</v>
      </c>
      <c r="N71" s="240" t="s">
        <v>485</v>
      </c>
      <c r="O71" s="241" t="s">
        <v>476</v>
      </c>
      <c r="P71" s="240" t="s">
        <v>486</v>
      </c>
      <c r="Q71" s="240" t="s">
        <v>477</v>
      </c>
      <c r="R71" s="238">
        <v>1413236</v>
      </c>
      <c r="S71" s="234" t="s">
        <v>487</v>
      </c>
      <c r="T71" s="235" t="s">
        <v>52</v>
      </c>
      <c r="U71" s="236" t="s">
        <v>51</v>
      </c>
      <c r="V71" s="153"/>
      <c r="W71" s="153"/>
      <c r="X71" s="153"/>
      <c r="Y71" s="153"/>
      <c r="Z71" s="153"/>
      <c r="AA71" s="153"/>
      <c r="AB71" s="153"/>
    </row>
    <row r="72" spans="1:28" ht="15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239">
        <f t="shared" si="2"/>
        <v>38</v>
      </c>
      <c r="L72" s="237" t="s">
        <v>2220</v>
      </c>
      <c r="M72" s="237">
        <v>22451</v>
      </c>
      <c r="N72" s="240" t="s">
        <v>498</v>
      </c>
      <c r="O72" s="241" t="s">
        <v>476</v>
      </c>
      <c r="P72" s="240" t="s">
        <v>499</v>
      </c>
      <c r="Q72" s="240" t="s">
        <v>477</v>
      </c>
      <c r="R72" s="238">
        <v>1315366</v>
      </c>
      <c r="S72" s="234" t="s">
        <v>500</v>
      </c>
      <c r="T72" s="235" t="s">
        <v>52</v>
      </c>
      <c r="U72" s="236" t="s">
        <v>51</v>
      </c>
      <c r="V72" s="153"/>
      <c r="W72" s="153"/>
      <c r="X72" s="153"/>
      <c r="Y72" s="153"/>
      <c r="Z72" s="153"/>
      <c r="AA72" s="153"/>
      <c r="AB72" s="153"/>
    </row>
    <row r="73" spans="1:28" ht="15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239">
        <f t="shared" si="2"/>
        <v>39</v>
      </c>
      <c r="L73" s="237" t="s">
        <v>2221</v>
      </c>
      <c r="M73" s="237">
        <v>22460</v>
      </c>
      <c r="N73" s="240" t="s">
        <v>501</v>
      </c>
      <c r="O73" s="241" t="s">
        <v>476</v>
      </c>
      <c r="P73" s="240" t="s">
        <v>2155</v>
      </c>
      <c r="Q73" s="240" t="s">
        <v>477</v>
      </c>
      <c r="R73" s="238">
        <v>1406043</v>
      </c>
      <c r="S73" s="234" t="s">
        <v>502</v>
      </c>
      <c r="T73" s="235" t="s">
        <v>52</v>
      </c>
      <c r="U73" s="236" t="s">
        <v>51</v>
      </c>
      <c r="V73" s="153"/>
      <c r="W73" s="153"/>
      <c r="X73" s="153"/>
      <c r="Y73" s="153"/>
      <c r="Z73" s="153"/>
      <c r="AA73" s="153"/>
      <c r="AB73" s="153"/>
    </row>
    <row r="74" spans="1:28" ht="15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239">
        <f t="shared" si="2"/>
        <v>40</v>
      </c>
      <c r="L74" s="237" t="s">
        <v>2225</v>
      </c>
      <c r="M74" s="237">
        <v>22478</v>
      </c>
      <c r="N74" s="240" t="s">
        <v>511</v>
      </c>
      <c r="O74" s="241" t="s">
        <v>476</v>
      </c>
      <c r="P74" s="240" t="s">
        <v>512</v>
      </c>
      <c r="Q74" s="240" t="s">
        <v>477</v>
      </c>
      <c r="R74" s="238">
        <v>1321358</v>
      </c>
      <c r="S74" s="234" t="s">
        <v>513</v>
      </c>
      <c r="T74" s="235" t="s">
        <v>52</v>
      </c>
      <c r="U74" s="236" t="s">
        <v>51</v>
      </c>
      <c r="V74" s="153"/>
      <c r="W74" s="153"/>
      <c r="X74" s="153"/>
      <c r="Y74" s="153"/>
      <c r="Z74" s="153"/>
      <c r="AA74" s="153"/>
      <c r="AB74" s="153"/>
    </row>
    <row r="75" spans="1:28" ht="15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239">
        <f t="shared" si="2"/>
        <v>41</v>
      </c>
      <c r="L75" s="237" t="s">
        <v>2191</v>
      </c>
      <c r="M75" s="237">
        <v>22486</v>
      </c>
      <c r="N75" s="240" t="s">
        <v>409</v>
      </c>
      <c r="O75" s="247" t="s">
        <v>381</v>
      </c>
      <c r="P75" s="240" t="s">
        <v>410</v>
      </c>
      <c r="Q75" s="240" t="s">
        <v>383</v>
      </c>
      <c r="R75" s="238">
        <v>1404881</v>
      </c>
      <c r="S75" s="234" t="s">
        <v>411</v>
      </c>
      <c r="T75" s="235" t="s">
        <v>52</v>
      </c>
      <c r="U75" s="236" t="s">
        <v>51</v>
      </c>
      <c r="V75" s="153"/>
      <c r="W75" s="153"/>
      <c r="X75" s="153"/>
      <c r="Y75" s="153"/>
      <c r="Z75" s="153"/>
      <c r="AA75" s="153"/>
      <c r="AB75" s="153"/>
    </row>
    <row r="76" spans="1:28" ht="15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239">
        <f t="shared" si="2"/>
        <v>42</v>
      </c>
      <c r="L76" s="237" t="s">
        <v>2266</v>
      </c>
      <c r="M76" s="237">
        <v>22494</v>
      </c>
      <c r="N76" s="240" t="s">
        <v>637</v>
      </c>
      <c r="O76" s="241" t="s">
        <v>610</v>
      </c>
      <c r="P76" s="240" t="s">
        <v>638</v>
      </c>
      <c r="Q76" s="240" t="s">
        <v>437</v>
      </c>
      <c r="R76" s="238">
        <v>1387332</v>
      </c>
      <c r="S76" s="234" t="s">
        <v>639</v>
      </c>
      <c r="T76" s="235" t="s">
        <v>52</v>
      </c>
      <c r="U76" s="236" t="s">
        <v>51</v>
      </c>
      <c r="V76" s="153"/>
      <c r="W76" s="153"/>
      <c r="X76" s="153"/>
      <c r="Y76" s="153"/>
      <c r="Z76" s="153"/>
      <c r="AA76" s="153"/>
      <c r="AB76" s="153"/>
    </row>
    <row r="77" spans="1:28" ht="15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239">
        <f t="shared" si="2"/>
        <v>43</v>
      </c>
      <c r="L77" s="237" t="s">
        <v>2206</v>
      </c>
      <c r="M77" s="237">
        <v>22568</v>
      </c>
      <c r="N77" s="240" t="s">
        <v>457</v>
      </c>
      <c r="O77" s="247" t="s">
        <v>435</v>
      </c>
      <c r="P77" s="240" t="s">
        <v>458</v>
      </c>
      <c r="Q77" s="240" t="s">
        <v>437</v>
      </c>
      <c r="R77" s="238">
        <v>1580485</v>
      </c>
      <c r="S77" s="234" t="s">
        <v>459</v>
      </c>
      <c r="T77" s="235" t="s">
        <v>52</v>
      </c>
      <c r="U77" s="236" t="s">
        <v>51</v>
      </c>
      <c r="V77" s="153"/>
      <c r="W77" s="153"/>
      <c r="X77" s="153"/>
      <c r="Y77" s="153"/>
      <c r="Z77" s="153"/>
      <c r="AA77" s="153"/>
      <c r="AB77" s="153"/>
    </row>
    <row r="78" spans="1:28" ht="15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239">
        <f t="shared" si="2"/>
        <v>44</v>
      </c>
      <c r="L78" s="237" t="s">
        <v>2267</v>
      </c>
      <c r="M78" s="237">
        <v>22824</v>
      </c>
      <c r="N78" s="240" t="s">
        <v>640</v>
      </c>
      <c r="O78" s="241" t="s">
        <v>610</v>
      </c>
      <c r="P78" s="240" t="s">
        <v>641</v>
      </c>
      <c r="Q78" s="240" t="s">
        <v>642</v>
      </c>
      <c r="R78" s="238">
        <v>2100673</v>
      </c>
      <c r="S78" s="234" t="s">
        <v>643</v>
      </c>
      <c r="T78" s="235" t="s">
        <v>52</v>
      </c>
      <c r="U78" s="236" t="s">
        <v>51</v>
      </c>
      <c r="V78" s="153"/>
      <c r="W78" s="153"/>
      <c r="X78" s="153"/>
      <c r="Y78" s="153"/>
      <c r="Z78" s="153"/>
      <c r="AA78" s="153"/>
      <c r="AB78" s="153"/>
    </row>
    <row r="79" spans="1:28" ht="15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239">
        <f t="shared" si="2"/>
        <v>45</v>
      </c>
      <c r="L79" s="237" t="s">
        <v>2271</v>
      </c>
      <c r="M79" s="237">
        <v>22832</v>
      </c>
      <c r="N79" s="240" t="s">
        <v>652</v>
      </c>
      <c r="O79" s="241" t="s">
        <v>610</v>
      </c>
      <c r="P79" s="240" t="s">
        <v>653</v>
      </c>
      <c r="Q79" s="240" t="s">
        <v>380</v>
      </c>
      <c r="R79" s="238">
        <v>1274597</v>
      </c>
      <c r="S79" s="234" t="s">
        <v>654</v>
      </c>
      <c r="T79" s="235" t="s">
        <v>52</v>
      </c>
      <c r="U79" s="236" t="s">
        <v>51</v>
      </c>
      <c r="V79" s="153"/>
      <c r="W79" s="153"/>
      <c r="X79" s="153"/>
      <c r="Y79" s="153"/>
      <c r="Z79" s="153"/>
      <c r="AA79" s="153"/>
      <c r="AB79" s="153"/>
    </row>
    <row r="80" spans="1:28" ht="15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239">
        <f t="shared" si="2"/>
        <v>46</v>
      </c>
      <c r="L80" s="237" t="s">
        <v>2187</v>
      </c>
      <c r="M80" s="237">
        <v>22849</v>
      </c>
      <c r="N80" s="240" t="s">
        <v>397</v>
      </c>
      <c r="O80" s="247" t="s">
        <v>381</v>
      </c>
      <c r="P80" s="240" t="s">
        <v>398</v>
      </c>
      <c r="Q80" s="240" t="s">
        <v>383</v>
      </c>
      <c r="R80" s="238">
        <v>1388142</v>
      </c>
      <c r="S80" s="234" t="s">
        <v>399</v>
      </c>
      <c r="T80" s="235" t="s">
        <v>52</v>
      </c>
      <c r="U80" s="236" t="s">
        <v>51</v>
      </c>
      <c r="V80" s="153"/>
      <c r="W80" s="153"/>
      <c r="X80" s="153"/>
      <c r="Y80" s="153"/>
      <c r="Z80" s="153"/>
      <c r="AA80" s="153"/>
      <c r="AB80" s="153"/>
    </row>
    <row r="81" spans="1:28" ht="15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239">
        <f t="shared" si="2"/>
        <v>47</v>
      </c>
      <c r="L81" s="237" t="s">
        <v>2203</v>
      </c>
      <c r="M81" s="237">
        <v>22857</v>
      </c>
      <c r="N81" s="240" t="s">
        <v>449</v>
      </c>
      <c r="O81" s="247" t="s">
        <v>435</v>
      </c>
      <c r="P81" s="240" t="s">
        <v>450</v>
      </c>
      <c r="Q81" s="240" t="s">
        <v>437</v>
      </c>
      <c r="R81" s="238">
        <v>3368491</v>
      </c>
      <c r="S81" s="234" t="s">
        <v>451</v>
      </c>
      <c r="T81" s="235" t="s">
        <v>52</v>
      </c>
      <c r="U81" s="236" t="s">
        <v>51</v>
      </c>
      <c r="V81" s="153"/>
      <c r="W81" s="153"/>
      <c r="X81" s="153"/>
      <c r="Y81" s="153"/>
      <c r="Z81" s="153"/>
      <c r="AA81" s="153"/>
      <c r="AB81" s="153"/>
    </row>
    <row r="82" spans="1:28" ht="15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239">
        <f t="shared" si="2"/>
        <v>48</v>
      </c>
      <c r="L82" s="237" t="s">
        <v>2219</v>
      </c>
      <c r="M82" s="245">
        <v>23368</v>
      </c>
      <c r="N82" s="240" t="s">
        <v>496</v>
      </c>
      <c r="O82" s="241" t="s">
        <v>476</v>
      </c>
      <c r="P82" s="240" t="s">
        <v>497</v>
      </c>
      <c r="Q82" s="240" t="s">
        <v>477</v>
      </c>
      <c r="R82" s="238">
        <v>1465643</v>
      </c>
      <c r="S82" s="234">
        <v>36149548625</v>
      </c>
      <c r="T82" s="235" t="s">
        <v>52</v>
      </c>
      <c r="U82" s="236" t="s">
        <v>51</v>
      </c>
      <c r="V82" s="153"/>
      <c r="W82" s="153"/>
      <c r="X82" s="153"/>
      <c r="Y82" s="153"/>
      <c r="Z82" s="153"/>
      <c r="AA82" s="153"/>
      <c r="AB82" s="153"/>
    </row>
    <row r="83" spans="1:28" ht="15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239">
        <f t="shared" si="2"/>
        <v>49</v>
      </c>
      <c r="L83" s="237" t="s">
        <v>2226</v>
      </c>
      <c r="M83" s="237">
        <v>23815</v>
      </c>
      <c r="N83" s="240" t="s">
        <v>432</v>
      </c>
      <c r="O83" s="241" t="s">
        <v>432</v>
      </c>
      <c r="P83" s="240" t="s">
        <v>2157</v>
      </c>
      <c r="Q83" s="240" t="s">
        <v>433</v>
      </c>
      <c r="R83" s="238">
        <v>1695525</v>
      </c>
      <c r="S83" s="234" t="s">
        <v>434</v>
      </c>
      <c r="T83" s="235" t="s">
        <v>52</v>
      </c>
      <c r="U83" s="236" t="s">
        <v>51</v>
      </c>
      <c r="V83" s="153"/>
      <c r="W83" s="153"/>
      <c r="X83" s="153"/>
      <c r="Y83" s="153"/>
      <c r="Z83" s="153"/>
      <c r="AA83" s="153"/>
      <c r="AB83" s="153"/>
    </row>
    <row r="84" spans="1:28" ht="15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239">
        <f t="shared" si="2"/>
        <v>50</v>
      </c>
      <c r="L84" s="237" t="s">
        <v>2198</v>
      </c>
      <c r="M84" s="237">
        <v>24141</v>
      </c>
      <c r="N84" s="240" t="s">
        <v>428</v>
      </c>
      <c r="O84" s="241" t="s">
        <v>428</v>
      </c>
      <c r="P84" s="240" t="s">
        <v>429</v>
      </c>
      <c r="Q84" s="240" t="s">
        <v>430</v>
      </c>
      <c r="R84" s="238">
        <v>1787578</v>
      </c>
      <c r="S84" s="234" t="s">
        <v>431</v>
      </c>
      <c r="T84" s="235" t="s">
        <v>52</v>
      </c>
      <c r="U84" s="236" t="s">
        <v>51</v>
      </c>
      <c r="V84" s="153"/>
      <c r="W84" s="153"/>
      <c r="X84" s="153"/>
      <c r="Y84" s="153"/>
      <c r="Z84" s="153"/>
      <c r="AA84" s="153"/>
      <c r="AB84" s="153"/>
    </row>
    <row r="85" spans="1:28" ht="15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239">
        <f t="shared" si="2"/>
        <v>51</v>
      </c>
      <c r="L85" s="237" t="s">
        <v>2262</v>
      </c>
      <c r="M85" s="237">
        <v>38438</v>
      </c>
      <c r="N85" s="240" t="s">
        <v>621</v>
      </c>
      <c r="O85" s="241" t="s">
        <v>610</v>
      </c>
      <c r="P85" s="246" t="s">
        <v>622</v>
      </c>
      <c r="Q85" s="246" t="s">
        <v>623</v>
      </c>
      <c r="R85" s="238">
        <v>1963813</v>
      </c>
      <c r="S85" s="234" t="s">
        <v>624</v>
      </c>
      <c r="T85" s="235" t="s">
        <v>52</v>
      </c>
      <c r="U85" s="236" t="s">
        <v>51</v>
      </c>
      <c r="V85" s="153"/>
      <c r="W85" s="153"/>
      <c r="X85" s="153"/>
      <c r="Y85" s="153"/>
      <c r="Z85" s="153"/>
      <c r="AA85" s="153"/>
      <c r="AB85" s="153"/>
    </row>
    <row r="86" spans="1:28" ht="15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239">
        <f t="shared" si="2"/>
        <v>52</v>
      </c>
      <c r="L86" s="237" t="s">
        <v>2261</v>
      </c>
      <c r="M86" s="237">
        <v>38446</v>
      </c>
      <c r="N86" s="240" t="s">
        <v>617</v>
      </c>
      <c r="O86" s="241" t="s">
        <v>610</v>
      </c>
      <c r="P86" s="240" t="s">
        <v>618</v>
      </c>
      <c r="Q86" s="240" t="s">
        <v>619</v>
      </c>
      <c r="R86" s="238">
        <v>1970828</v>
      </c>
      <c r="S86" s="234" t="s">
        <v>620</v>
      </c>
      <c r="T86" s="235" t="s">
        <v>52</v>
      </c>
      <c r="U86" s="236" t="s">
        <v>51</v>
      </c>
      <c r="V86" s="153"/>
      <c r="W86" s="153"/>
      <c r="X86" s="153"/>
      <c r="Y86" s="153"/>
      <c r="Z86" s="153"/>
      <c r="AA86" s="153"/>
      <c r="AB86" s="153"/>
    </row>
    <row r="87" spans="1:28" ht="15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239">
        <f t="shared" si="2"/>
        <v>53</v>
      </c>
      <c r="L87" s="237" t="s">
        <v>2200</v>
      </c>
      <c r="M87" s="237">
        <v>38454</v>
      </c>
      <c r="N87" s="240" t="s">
        <v>439</v>
      </c>
      <c r="O87" s="247" t="s">
        <v>435</v>
      </c>
      <c r="P87" s="240" t="s">
        <v>440</v>
      </c>
      <c r="Q87" s="240" t="s">
        <v>437</v>
      </c>
      <c r="R87" s="238">
        <v>1954253</v>
      </c>
      <c r="S87" s="234" t="s">
        <v>441</v>
      </c>
      <c r="T87" s="235" t="s">
        <v>52</v>
      </c>
      <c r="U87" s="236" t="s">
        <v>51</v>
      </c>
      <c r="V87" s="153"/>
      <c r="W87" s="153"/>
      <c r="X87" s="153"/>
      <c r="Y87" s="153"/>
      <c r="Z87" s="153"/>
      <c r="AA87" s="153"/>
      <c r="AB87" s="153"/>
    </row>
    <row r="88" spans="1:28" ht="15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239">
        <f t="shared" si="2"/>
        <v>54</v>
      </c>
      <c r="L88" s="237" t="s">
        <v>2193</v>
      </c>
      <c r="M88" s="237">
        <v>38479</v>
      </c>
      <c r="N88" s="240" t="s">
        <v>412</v>
      </c>
      <c r="O88" s="247" t="s">
        <v>381</v>
      </c>
      <c r="P88" s="240" t="s">
        <v>413</v>
      </c>
      <c r="Q88" s="240" t="s">
        <v>414</v>
      </c>
      <c r="R88" s="238">
        <v>1986490</v>
      </c>
      <c r="S88" s="234" t="s">
        <v>415</v>
      </c>
      <c r="T88" s="235" t="s">
        <v>52</v>
      </c>
      <c r="U88" s="236" t="s">
        <v>51</v>
      </c>
      <c r="V88" s="153"/>
      <c r="W88" s="153"/>
      <c r="X88" s="153"/>
      <c r="Y88" s="153"/>
      <c r="Z88" s="153"/>
      <c r="AA88" s="153"/>
      <c r="AB88" s="153"/>
    </row>
    <row r="89" spans="1:28" ht="15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239">
        <f t="shared" si="2"/>
        <v>55</v>
      </c>
      <c r="L89" s="237" t="s">
        <v>2210</v>
      </c>
      <c r="M89" s="237">
        <v>40947</v>
      </c>
      <c r="N89" s="240" t="s">
        <v>469</v>
      </c>
      <c r="O89" s="247" t="s">
        <v>435</v>
      </c>
      <c r="P89" s="240" t="s">
        <v>470</v>
      </c>
      <c r="Q89" s="240" t="s">
        <v>437</v>
      </c>
      <c r="R89" s="238">
        <v>2116073</v>
      </c>
      <c r="S89" s="234" t="s">
        <v>471</v>
      </c>
      <c r="T89" s="235" t="s">
        <v>52</v>
      </c>
      <c r="U89" s="236" t="s">
        <v>51</v>
      </c>
      <c r="V89" s="153"/>
      <c r="W89" s="153"/>
      <c r="X89" s="153"/>
      <c r="Y89" s="153"/>
      <c r="Z89" s="153"/>
      <c r="AA89" s="153"/>
      <c r="AB89" s="153"/>
    </row>
    <row r="90" spans="1:28" ht="15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239">
        <f t="shared" si="2"/>
        <v>56</v>
      </c>
      <c r="L90" s="237" t="s">
        <v>2263</v>
      </c>
      <c r="M90" s="237">
        <v>41185</v>
      </c>
      <c r="N90" s="240" t="s">
        <v>625</v>
      </c>
      <c r="O90" s="241" t="s">
        <v>610</v>
      </c>
      <c r="P90" s="240" t="s">
        <v>626</v>
      </c>
      <c r="Q90" s="240" t="s">
        <v>627</v>
      </c>
      <c r="R90" s="238">
        <v>2103133</v>
      </c>
      <c r="S90" s="234" t="s">
        <v>628</v>
      </c>
      <c r="T90" s="235" t="s">
        <v>52</v>
      </c>
      <c r="U90" s="236" t="s">
        <v>51</v>
      </c>
      <c r="V90" s="153"/>
      <c r="W90" s="153"/>
      <c r="X90" s="153"/>
      <c r="Y90" s="153"/>
      <c r="Z90" s="153"/>
      <c r="AA90" s="153"/>
      <c r="AB90" s="153"/>
    </row>
    <row r="91" spans="1:28" ht="15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239">
        <f t="shared" si="2"/>
        <v>57</v>
      </c>
      <c r="L91" s="237" t="s">
        <v>2196</v>
      </c>
      <c r="M91" s="237">
        <v>42024</v>
      </c>
      <c r="N91" s="240" t="s">
        <v>421</v>
      </c>
      <c r="O91" s="241" t="s">
        <v>421</v>
      </c>
      <c r="P91" s="240" t="s">
        <v>422</v>
      </c>
      <c r="Q91" s="240" t="s">
        <v>423</v>
      </c>
      <c r="R91" s="238">
        <v>2161753</v>
      </c>
      <c r="S91" s="234" t="s">
        <v>424</v>
      </c>
      <c r="T91" s="235" t="s">
        <v>52</v>
      </c>
      <c r="U91" s="236" t="s">
        <v>51</v>
      </c>
      <c r="V91" s="153"/>
      <c r="W91" s="153"/>
      <c r="X91" s="153"/>
      <c r="Y91" s="153"/>
      <c r="Z91" s="153"/>
      <c r="AA91" s="153"/>
      <c r="AB91" s="153"/>
    </row>
    <row r="92" spans="1:28" ht="15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239">
        <f t="shared" si="2"/>
        <v>58</v>
      </c>
      <c r="L92" s="237" t="s">
        <v>2269</v>
      </c>
      <c r="M92" s="237">
        <v>42993</v>
      </c>
      <c r="N92" s="240" t="s">
        <v>644</v>
      </c>
      <c r="O92" s="241" t="s">
        <v>610</v>
      </c>
      <c r="P92" s="240" t="s">
        <v>645</v>
      </c>
      <c r="Q92" s="240" t="s">
        <v>646</v>
      </c>
      <c r="R92" s="238">
        <v>2282208</v>
      </c>
      <c r="S92" s="234" t="s">
        <v>647</v>
      </c>
      <c r="T92" s="235" t="s">
        <v>52</v>
      </c>
      <c r="U92" s="236" t="s">
        <v>51</v>
      </c>
      <c r="V92" s="153"/>
      <c r="W92" s="153"/>
      <c r="X92" s="153"/>
      <c r="Y92" s="153"/>
      <c r="Z92" s="153"/>
      <c r="AA92" s="153"/>
      <c r="AB92" s="153"/>
    </row>
    <row r="93" spans="1:28" ht="15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239">
        <f t="shared" si="2"/>
        <v>59</v>
      </c>
      <c r="L93" s="237" t="s">
        <v>2180</v>
      </c>
      <c r="M93" s="237">
        <v>43749</v>
      </c>
      <c r="N93" s="240" t="s">
        <v>609</v>
      </c>
      <c r="O93" s="241" t="s">
        <v>610</v>
      </c>
      <c r="P93" s="240" t="s">
        <v>611</v>
      </c>
      <c r="Q93" s="240" t="s">
        <v>612</v>
      </c>
      <c r="R93" s="238">
        <v>2382512</v>
      </c>
      <c r="S93" s="234" t="s">
        <v>613</v>
      </c>
      <c r="T93" s="235" t="s">
        <v>52</v>
      </c>
      <c r="U93" s="236" t="s">
        <v>51</v>
      </c>
      <c r="V93" s="153"/>
      <c r="W93" s="153"/>
      <c r="X93" s="153"/>
      <c r="Y93" s="153"/>
      <c r="Z93" s="153"/>
      <c r="AA93" s="153"/>
      <c r="AB93" s="153"/>
    </row>
    <row r="94" spans="1:28" ht="15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239">
        <f t="shared" si="2"/>
        <v>60</v>
      </c>
      <c r="L94" s="237" t="s">
        <v>2218</v>
      </c>
      <c r="M94" s="237">
        <v>43773</v>
      </c>
      <c r="N94" s="240" t="s">
        <v>493</v>
      </c>
      <c r="O94" s="241" t="s">
        <v>476</v>
      </c>
      <c r="P94" s="240" t="s">
        <v>494</v>
      </c>
      <c r="Q94" s="240" t="s">
        <v>477</v>
      </c>
      <c r="R94" s="238">
        <v>2393255</v>
      </c>
      <c r="S94" s="234" t="s">
        <v>495</v>
      </c>
      <c r="T94" s="235" t="s">
        <v>52</v>
      </c>
      <c r="U94" s="236" t="s">
        <v>51</v>
      </c>
      <c r="V94" s="153"/>
      <c r="W94" s="153"/>
      <c r="X94" s="153"/>
      <c r="Y94" s="153"/>
      <c r="Z94" s="153"/>
      <c r="AA94" s="153"/>
      <c r="AB94" s="153"/>
    </row>
    <row r="95" spans="1:28" ht="15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239">
        <f t="shared" si="2"/>
        <v>61</v>
      </c>
      <c r="L95" s="237" t="s">
        <v>2211</v>
      </c>
      <c r="M95" s="237">
        <v>48023</v>
      </c>
      <c r="N95" s="240" t="s">
        <v>472</v>
      </c>
      <c r="O95" s="247" t="s">
        <v>435</v>
      </c>
      <c r="P95" s="240" t="s">
        <v>473</v>
      </c>
      <c r="Q95" s="240" t="s">
        <v>437</v>
      </c>
      <c r="R95" s="244" t="s">
        <v>474</v>
      </c>
      <c r="S95" s="234" t="s">
        <v>475</v>
      </c>
      <c r="T95" s="235" t="s">
        <v>52</v>
      </c>
      <c r="U95" s="236" t="s">
        <v>51</v>
      </c>
      <c r="V95" s="153"/>
      <c r="W95" s="153"/>
      <c r="X95" s="153"/>
      <c r="Y95" s="153"/>
      <c r="Z95" s="153"/>
      <c r="AA95" s="153"/>
      <c r="AB95" s="153"/>
    </row>
    <row r="96" spans="1:28" ht="15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239">
        <f t="shared" si="2"/>
        <v>62</v>
      </c>
      <c r="L96" s="237" t="s">
        <v>2197</v>
      </c>
      <c r="M96" s="237">
        <v>48267</v>
      </c>
      <c r="N96" s="240" t="s">
        <v>425</v>
      </c>
      <c r="O96" s="241" t="s">
        <v>425</v>
      </c>
      <c r="P96" s="240" t="s">
        <v>2152</v>
      </c>
      <c r="Q96" s="240" t="s">
        <v>426</v>
      </c>
      <c r="R96" s="238">
        <v>2752298</v>
      </c>
      <c r="S96" s="234" t="s">
        <v>427</v>
      </c>
      <c r="T96" s="235" t="s">
        <v>52</v>
      </c>
      <c r="U96" s="236" t="s">
        <v>51</v>
      </c>
      <c r="V96" s="153"/>
      <c r="W96" s="153"/>
      <c r="X96" s="153"/>
      <c r="Y96" s="153"/>
      <c r="Z96" s="153"/>
      <c r="AA96" s="153"/>
      <c r="AB96" s="153"/>
    </row>
    <row r="97" spans="1:28" ht="15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239">
        <f t="shared" si="2"/>
        <v>63</v>
      </c>
      <c r="L97" s="237" t="s">
        <v>2194</v>
      </c>
      <c r="M97" s="237">
        <v>49796</v>
      </c>
      <c r="N97" s="240" t="s">
        <v>416</v>
      </c>
      <c r="O97" s="247" t="s">
        <v>381</v>
      </c>
      <c r="P97" s="240" t="s">
        <v>417</v>
      </c>
      <c r="Q97" s="240" t="s">
        <v>383</v>
      </c>
      <c r="R97" s="238">
        <v>4748875</v>
      </c>
      <c r="S97" s="234" t="s">
        <v>418</v>
      </c>
      <c r="T97" s="235" t="s">
        <v>52</v>
      </c>
      <c r="U97" s="236" t="s">
        <v>51</v>
      </c>
      <c r="V97" s="153"/>
      <c r="W97" s="153"/>
      <c r="X97" s="153"/>
      <c r="Y97" s="153"/>
      <c r="Z97" s="153"/>
      <c r="AA97" s="153"/>
      <c r="AB97" s="153"/>
    </row>
    <row r="98" spans="1:28" ht="15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239">
        <f t="shared" si="2"/>
        <v>64</v>
      </c>
      <c r="L98" s="237" t="s">
        <v>2192</v>
      </c>
      <c r="M98" s="237">
        <v>50215</v>
      </c>
      <c r="N98" s="240" t="s">
        <v>419</v>
      </c>
      <c r="O98" s="247" t="s">
        <v>381</v>
      </c>
      <c r="P98" s="240" t="s">
        <v>420</v>
      </c>
      <c r="Q98" s="240" t="s">
        <v>383</v>
      </c>
      <c r="R98" s="238">
        <v>4907361</v>
      </c>
      <c r="S98" s="234" t="s">
        <v>2150</v>
      </c>
      <c r="T98" s="235" t="s">
        <v>52</v>
      </c>
      <c r="U98" s="236" t="s">
        <v>51</v>
      </c>
      <c r="V98" s="153"/>
      <c r="W98" s="153"/>
      <c r="X98" s="153"/>
      <c r="Y98" s="153"/>
      <c r="Z98" s="153"/>
      <c r="AA98" s="153"/>
      <c r="AB98" s="153"/>
    </row>
    <row r="99" spans="1:28" ht="15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239">
        <f t="shared" si="2"/>
        <v>65</v>
      </c>
      <c r="L99" s="237" t="s">
        <v>2268</v>
      </c>
      <c r="M99" s="237">
        <v>50848</v>
      </c>
      <c r="N99" s="240" t="s">
        <v>2167</v>
      </c>
      <c r="O99" s="241" t="s">
        <v>610</v>
      </c>
      <c r="P99" s="240" t="s">
        <v>2168</v>
      </c>
      <c r="Q99" s="240" t="s">
        <v>2169</v>
      </c>
      <c r="R99" s="238">
        <v>2271354</v>
      </c>
      <c r="S99" s="234" t="s">
        <v>2170</v>
      </c>
      <c r="T99" s="235" t="s">
        <v>52</v>
      </c>
      <c r="U99" s="236" t="s">
        <v>51</v>
      </c>
      <c r="V99" s="153"/>
      <c r="W99" s="153"/>
      <c r="X99" s="153"/>
      <c r="Y99" s="153"/>
      <c r="Z99" s="153"/>
      <c r="AA99" s="153"/>
      <c r="AB99" s="153"/>
    </row>
    <row r="100" spans="1:28" ht="15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239">
        <f t="shared" ref="K100:K136" si="3">+K99+1</f>
        <v>66</v>
      </c>
      <c r="L100" s="237" t="s">
        <v>2237</v>
      </c>
      <c r="M100" s="237">
        <v>51191</v>
      </c>
      <c r="N100" s="240" t="s">
        <v>2160</v>
      </c>
      <c r="O100" s="241" t="s">
        <v>514</v>
      </c>
      <c r="P100" s="240" t="s">
        <v>2161</v>
      </c>
      <c r="Q100" s="240" t="s">
        <v>380</v>
      </c>
      <c r="R100" s="238">
        <v>5214068</v>
      </c>
      <c r="S100" s="234" t="s">
        <v>2162</v>
      </c>
      <c r="T100" s="235" t="s">
        <v>52</v>
      </c>
      <c r="U100" s="236" t="s">
        <v>51</v>
      </c>
      <c r="V100" s="153"/>
      <c r="W100" s="153"/>
      <c r="X100" s="153"/>
      <c r="Y100" s="153"/>
      <c r="Z100" s="153"/>
      <c r="AA100" s="153"/>
      <c r="AB100" s="153"/>
    </row>
    <row r="101" spans="1:28" ht="15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239">
        <f t="shared" si="3"/>
        <v>67</v>
      </c>
      <c r="L101" s="237" t="s">
        <v>2195</v>
      </c>
      <c r="M101" s="237">
        <v>51360</v>
      </c>
      <c r="N101" s="240" t="s">
        <v>2151</v>
      </c>
      <c r="O101" s="241" t="s">
        <v>2151</v>
      </c>
      <c r="P101" s="240"/>
      <c r="Q101" s="240"/>
      <c r="R101" s="238"/>
      <c r="S101" s="234"/>
      <c r="T101" s="235" t="s">
        <v>52</v>
      </c>
      <c r="U101" s="236" t="s">
        <v>51</v>
      </c>
      <c r="V101" s="153"/>
      <c r="W101" s="153"/>
      <c r="X101" s="153"/>
      <c r="Y101" s="153"/>
      <c r="Z101" s="153"/>
      <c r="AA101" s="153"/>
      <c r="AB101" s="153"/>
    </row>
    <row r="102" spans="1:28" ht="15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239">
        <f t="shared" si="3"/>
        <v>68</v>
      </c>
      <c r="L102" s="237" t="s">
        <v>2290</v>
      </c>
      <c r="M102" s="237">
        <v>2900</v>
      </c>
      <c r="N102" s="240" t="s">
        <v>706</v>
      </c>
      <c r="O102" s="241" t="s">
        <v>610</v>
      </c>
      <c r="P102" s="240" t="s">
        <v>2173</v>
      </c>
      <c r="Q102" s="240" t="s">
        <v>477</v>
      </c>
      <c r="R102" s="238">
        <v>3118355</v>
      </c>
      <c r="S102" s="234" t="s">
        <v>707</v>
      </c>
      <c r="T102" s="235" t="s">
        <v>781</v>
      </c>
      <c r="U102" s="236" t="s">
        <v>655</v>
      </c>
      <c r="V102" s="153"/>
      <c r="W102" s="153"/>
      <c r="X102" s="153"/>
      <c r="Y102" s="153"/>
      <c r="Z102" s="153"/>
      <c r="AA102" s="153"/>
      <c r="AB102" s="153"/>
    </row>
    <row r="103" spans="1:28" ht="15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239">
        <f t="shared" si="3"/>
        <v>69</v>
      </c>
      <c r="L103" s="237" t="s">
        <v>2272</v>
      </c>
      <c r="M103" s="237">
        <v>2918</v>
      </c>
      <c r="N103" s="240" t="s">
        <v>656</v>
      </c>
      <c r="O103" s="241" t="s">
        <v>610</v>
      </c>
      <c r="P103" s="240" t="s">
        <v>657</v>
      </c>
      <c r="Q103" s="240" t="s">
        <v>380</v>
      </c>
      <c r="R103" s="238">
        <v>3219925</v>
      </c>
      <c r="S103" s="234" t="s">
        <v>658</v>
      </c>
      <c r="T103" s="235" t="s">
        <v>781</v>
      </c>
      <c r="U103" s="236" t="s">
        <v>655</v>
      </c>
      <c r="V103" s="153"/>
      <c r="W103" s="153"/>
      <c r="X103" s="153"/>
      <c r="Y103" s="153"/>
      <c r="Z103" s="153"/>
      <c r="AA103" s="153"/>
      <c r="AB103" s="153"/>
    </row>
    <row r="104" spans="1:28" ht="15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239">
        <f t="shared" si="3"/>
        <v>70</v>
      </c>
      <c r="L104" s="237" t="s">
        <v>2273</v>
      </c>
      <c r="M104" s="237">
        <v>2934</v>
      </c>
      <c r="N104" s="240" t="s">
        <v>659</v>
      </c>
      <c r="O104" s="241" t="s">
        <v>610</v>
      </c>
      <c r="P104" s="240" t="s">
        <v>660</v>
      </c>
      <c r="Q104" s="240" t="s">
        <v>380</v>
      </c>
      <c r="R104" s="238">
        <v>3207153</v>
      </c>
      <c r="S104" s="234" t="s">
        <v>661</v>
      </c>
      <c r="T104" s="235" t="s">
        <v>781</v>
      </c>
      <c r="U104" s="236" t="s">
        <v>655</v>
      </c>
      <c r="V104" s="153"/>
      <c r="W104" s="153"/>
      <c r="X104" s="153"/>
      <c r="Y104" s="153"/>
      <c r="Z104" s="153"/>
      <c r="AA104" s="153"/>
      <c r="AB104" s="153"/>
    </row>
    <row r="105" spans="1:28" ht="15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239">
        <f t="shared" si="3"/>
        <v>71</v>
      </c>
      <c r="L105" s="237" t="s">
        <v>2292</v>
      </c>
      <c r="M105" s="237">
        <v>2942</v>
      </c>
      <c r="N105" s="240" t="s">
        <v>712</v>
      </c>
      <c r="O105" s="241" t="s">
        <v>610</v>
      </c>
      <c r="P105" s="240" t="s">
        <v>713</v>
      </c>
      <c r="Q105" s="240" t="s">
        <v>380</v>
      </c>
      <c r="R105" s="238">
        <v>1339958</v>
      </c>
      <c r="S105" s="234" t="s">
        <v>714</v>
      </c>
      <c r="T105" s="235" t="s">
        <v>781</v>
      </c>
      <c r="U105" s="236" t="s">
        <v>655</v>
      </c>
      <c r="V105" s="153"/>
      <c r="W105" s="153"/>
      <c r="X105" s="153"/>
      <c r="Y105" s="153"/>
      <c r="Z105" s="153"/>
      <c r="AA105" s="153"/>
      <c r="AB105" s="153"/>
    </row>
    <row r="106" spans="1:28" ht="15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239">
        <f t="shared" si="3"/>
        <v>72</v>
      </c>
      <c r="L106" s="237" t="s">
        <v>2287</v>
      </c>
      <c r="M106" s="237">
        <v>2959</v>
      </c>
      <c r="N106" s="240" t="s">
        <v>698</v>
      </c>
      <c r="O106" s="241" t="s">
        <v>610</v>
      </c>
      <c r="P106" s="240" t="s">
        <v>699</v>
      </c>
      <c r="Q106" s="240" t="s">
        <v>380</v>
      </c>
      <c r="R106" s="238">
        <v>3270475</v>
      </c>
      <c r="S106" s="234" t="s">
        <v>700</v>
      </c>
      <c r="T106" s="235" t="s">
        <v>781</v>
      </c>
      <c r="U106" s="236" t="s">
        <v>655</v>
      </c>
      <c r="V106" s="153"/>
      <c r="W106" s="153"/>
      <c r="X106" s="153"/>
      <c r="Y106" s="153"/>
      <c r="Z106" s="153"/>
      <c r="AA106" s="153"/>
      <c r="AB106" s="153"/>
    </row>
    <row r="107" spans="1:28" ht="15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239">
        <f t="shared" si="3"/>
        <v>73</v>
      </c>
      <c r="L107" s="237" t="s">
        <v>2296</v>
      </c>
      <c r="M107" s="237">
        <v>2967</v>
      </c>
      <c r="N107" s="240" t="s">
        <v>721</v>
      </c>
      <c r="O107" s="241" t="s">
        <v>610</v>
      </c>
      <c r="P107" s="240" t="s">
        <v>722</v>
      </c>
      <c r="Q107" s="240" t="s">
        <v>723</v>
      </c>
      <c r="R107" s="238">
        <v>3115879</v>
      </c>
      <c r="S107" s="234" t="s">
        <v>724</v>
      </c>
      <c r="T107" s="235" t="s">
        <v>781</v>
      </c>
      <c r="U107" s="236" t="s">
        <v>655</v>
      </c>
      <c r="V107" s="153"/>
      <c r="W107" s="153"/>
      <c r="X107" s="153"/>
      <c r="Y107" s="153"/>
      <c r="Z107" s="153"/>
      <c r="AA107" s="153"/>
      <c r="AB107" s="153"/>
    </row>
    <row r="108" spans="1:28" ht="15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239">
        <f t="shared" si="3"/>
        <v>74</v>
      </c>
      <c r="L108" s="237" t="s">
        <v>2282</v>
      </c>
      <c r="M108" s="237">
        <v>2975</v>
      </c>
      <c r="N108" s="240" t="s">
        <v>684</v>
      </c>
      <c r="O108" s="241" t="s">
        <v>610</v>
      </c>
      <c r="P108" s="240" t="s">
        <v>669</v>
      </c>
      <c r="Q108" s="240" t="s">
        <v>380</v>
      </c>
      <c r="R108" s="238">
        <v>3270424</v>
      </c>
      <c r="S108" s="234" t="s">
        <v>685</v>
      </c>
      <c r="T108" s="235" t="s">
        <v>781</v>
      </c>
      <c r="U108" s="236" t="s">
        <v>655</v>
      </c>
      <c r="V108" s="153"/>
      <c r="W108" s="153"/>
      <c r="X108" s="153"/>
      <c r="Y108" s="153"/>
      <c r="Z108" s="153"/>
      <c r="AA108" s="153"/>
      <c r="AB108" s="153"/>
    </row>
    <row r="109" spans="1:28" ht="15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239">
        <f t="shared" si="3"/>
        <v>75</v>
      </c>
      <c r="L109" s="237" t="s">
        <v>2274</v>
      </c>
      <c r="M109" s="237">
        <v>2983</v>
      </c>
      <c r="N109" s="240" t="s">
        <v>662</v>
      </c>
      <c r="O109" s="241" t="s">
        <v>610</v>
      </c>
      <c r="P109" s="240" t="s">
        <v>663</v>
      </c>
      <c r="Q109" s="240" t="s">
        <v>380</v>
      </c>
      <c r="R109" s="238">
        <v>3274098</v>
      </c>
      <c r="S109" s="234" t="s">
        <v>664</v>
      </c>
      <c r="T109" s="235" t="s">
        <v>781</v>
      </c>
      <c r="U109" s="236" t="s">
        <v>655</v>
      </c>
      <c r="V109" s="153"/>
      <c r="W109" s="153"/>
      <c r="X109" s="153"/>
      <c r="Y109" s="153"/>
      <c r="Z109" s="153"/>
      <c r="AA109" s="153"/>
      <c r="AB109" s="153"/>
    </row>
    <row r="110" spans="1:28" ht="15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239">
        <f t="shared" si="3"/>
        <v>76</v>
      </c>
      <c r="L110" s="237" t="s">
        <v>2294</v>
      </c>
      <c r="M110" s="237">
        <v>2991</v>
      </c>
      <c r="N110" s="240" t="s">
        <v>2174</v>
      </c>
      <c r="O110" s="241" t="s">
        <v>610</v>
      </c>
      <c r="P110" s="240" t="s">
        <v>2175</v>
      </c>
      <c r="Q110" s="240" t="s">
        <v>383</v>
      </c>
      <c r="R110" s="238">
        <v>3058239</v>
      </c>
      <c r="S110" s="234" t="s">
        <v>2176</v>
      </c>
      <c r="T110" s="235" t="s">
        <v>781</v>
      </c>
      <c r="U110" s="236" t="s">
        <v>655</v>
      </c>
      <c r="V110" s="153"/>
      <c r="W110" s="153"/>
      <c r="X110" s="153"/>
      <c r="Y110" s="153"/>
      <c r="Z110" s="153"/>
      <c r="AA110" s="153"/>
      <c r="AB110" s="153"/>
    </row>
    <row r="111" spans="1:28" ht="15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239">
        <f t="shared" si="3"/>
        <v>77</v>
      </c>
      <c r="L111" s="237" t="s">
        <v>2289</v>
      </c>
      <c r="M111" s="237">
        <v>3009</v>
      </c>
      <c r="N111" s="240" t="s">
        <v>703</v>
      </c>
      <c r="O111" s="241" t="s">
        <v>610</v>
      </c>
      <c r="P111" s="240" t="s">
        <v>704</v>
      </c>
      <c r="Q111" s="240" t="s">
        <v>380</v>
      </c>
      <c r="R111" s="238">
        <v>3287572</v>
      </c>
      <c r="S111" s="234" t="s">
        <v>705</v>
      </c>
      <c r="T111" s="235" t="s">
        <v>781</v>
      </c>
      <c r="U111" s="236" t="s">
        <v>655</v>
      </c>
      <c r="V111" s="153"/>
      <c r="W111" s="153"/>
      <c r="X111" s="153"/>
      <c r="Y111" s="153"/>
      <c r="Z111" s="153"/>
      <c r="AA111" s="153"/>
      <c r="AB111" s="153"/>
    </row>
    <row r="112" spans="1:28" ht="15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239">
        <f t="shared" si="3"/>
        <v>78</v>
      </c>
      <c r="L112" s="237" t="s">
        <v>2285</v>
      </c>
      <c r="M112" s="237">
        <v>3025</v>
      </c>
      <c r="N112" s="240" t="s">
        <v>692</v>
      </c>
      <c r="O112" s="241" t="s">
        <v>610</v>
      </c>
      <c r="P112" s="240" t="s">
        <v>693</v>
      </c>
      <c r="Q112" s="240" t="s">
        <v>477</v>
      </c>
      <c r="R112" s="238">
        <v>3140792</v>
      </c>
      <c r="S112" s="234" t="s">
        <v>694</v>
      </c>
      <c r="T112" s="235" t="s">
        <v>781</v>
      </c>
      <c r="U112" s="236" t="s">
        <v>655</v>
      </c>
      <c r="V112" s="153"/>
      <c r="W112" s="153"/>
      <c r="X112" s="153"/>
      <c r="Y112" s="153"/>
      <c r="Z112" s="153"/>
      <c r="AA112" s="153"/>
      <c r="AB112" s="153"/>
    </row>
    <row r="113" spans="1:28" ht="15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239">
        <f t="shared" si="3"/>
        <v>79</v>
      </c>
      <c r="L113" s="237" t="s">
        <v>2276</v>
      </c>
      <c r="M113" s="237">
        <v>3041</v>
      </c>
      <c r="N113" s="240" t="s">
        <v>668</v>
      </c>
      <c r="O113" s="241" t="s">
        <v>610</v>
      </c>
      <c r="P113" s="240" t="s">
        <v>669</v>
      </c>
      <c r="Q113" s="240" t="s">
        <v>380</v>
      </c>
      <c r="R113" s="238">
        <v>3270289</v>
      </c>
      <c r="S113" s="234" t="s">
        <v>670</v>
      </c>
      <c r="T113" s="235" t="s">
        <v>781</v>
      </c>
      <c r="U113" s="236" t="s">
        <v>655</v>
      </c>
      <c r="V113" s="153"/>
      <c r="W113" s="153"/>
      <c r="X113" s="153"/>
      <c r="Y113" s="153"/>
      <c r="Z113" s="153"/>
      <c r="AA113" s="153"/>
      <c r="AB113" s="153"/>
    </row>
    <row r="114" spans="1:28" ht="15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239">
        <f t="shared" si="3"/>
        <v>80</v>
      </c>
      <c r="L114" s="237" t="s">
        <v>2279</v>
      </c>
      <c r="M114" s="237">
        <v>3050</v>
      </c>
      <c r="N114" s="240" t="s">
        <v>676</v>
      </c>
      <c r="O114" s="241" t="s">
        <v>610</v>
      </c>
      <c r="P114" s="240" t="s">
        <v>677</v>
      </c>
      <c r="Q114" s="240" t="s">
        <v>380</v>
      </c>
      <c r="R114" s="238">
        <v>3205118</v>
      </c>
      <c r="S114" s="234" t="s">
        <v>678</v>
      </c>
      <c r="T114" s="235" t="s">
        <v>781</v>
      </c>
      <c r="U114" s="236" t="s">
        <v>655</v>
      </c>
      <c r="V114" s="153"/>
      <c r="W114" s="153"/>
      <c r="X114" s="153"/>
      <c r="Y114" s="153"/>
      <c r="Z114" s="153"/>
      <c r="AA114" s="153"/>
      <c r="AB114" s="153"/>
    </row>
    <row r="115" spans="1:28" ht="15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239">
        <f t="shared" si="3"/>
        <v>81</v>
      </c>
      <c r="L115" s="237" t="s">
        <v>2293</v>
      </c>
      <c r="M115" s="237">
        <v>3068</v>
      </c>
      <c r="N115" s="240" t="s">
        <v>715</v>
      </c>
      <c r="O115" s="241" t="s">
        <v>610</v>
      </c>
      <c r="P115" s="240" t="s">
        <v>716</v>
      </c>
      <c r="Q115" s="240" t="s">
        <v>380</v>
      </c>
      <c r="R115" s="238">
        <v>3208001</v>
      </c>
      <c r="S115" s="234" t="s">
        <v>717</v>
      </c>
      <c r="T115" s="235" t="s">
        <v>781</v>
      </c>
      <c r="U115" s="236" t="s">
        <v>655</v>
      </c>
      <c r="V115" s="153"/>
      <c r="W115" s="153"/>
      <c r="X115" s="153"/>
      <c r="Y115" s="153"/>
      <c r="Z115" s="153"/>
      <c r="AA115" s="153"/>
      <c r="AB115" s="153"/>
    </row>
    <row r="116" spans="1:28" ht="15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239">
        <f t="shared" si="3"/>
        <v>82</v>
      </c>
      <c r="L116" s="237" t="s">
        <v>2291</v>
      </c>
      <c r="M116" s="237">
        <v>3076</v>
      </c>
      <c r="N116" s="240" t="s">
        <v>708</v>
      </c>
      <c r="O116" s="241" t="s">
        <v>610</v>
      </c>
      <c r="P116" s="240" t="s">
        <v>709</v>
      </c>
      <c r="Q116" s="240" t="s">
        <v>710</v>
      </c>
      <c r="R116" s="238">
        <v>3421031</v>
      </c>
      <c r="S116" s="234" t="s">
        <v>711</v>
      </c>
      <c r="T116" s="235" t="s">
        <v>781</v>
      </c>
      <c r="U116" s="236" t="s">
        <v>655</v>
      </c>
      <c r="V116" s="153"/>
      <c r="W116" s="153"/>
      <c r="X116" s="153"/>
      <c r="Y116" s="153"/>
      <c r="Z116" s="153"/>
      <c r="AA116" s="153"/>
      <c r="AB116" s="153"/>
    </row>
    <row r="117" spans="1:28" ht="15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239">
        <f t="shared" si="3"/>
        <v>83</v>
      </c>
      <c r="L117" s="237" t="s">
        <v>2280</v>
      </c>
      <c r="M117" s="237">
        <v>3084</v>
      </c>
      <c r="N117" s="240" t="s">
        <v>679</v>
      </c>
      <c r="O117" s="241" t="s">
        <v>610</v>
      </c>
      <c r="P117" s="240" t="s">
        <v>680</v>
      </c>
      <c r="Q117" s="240" t="s">
        <v>380</v>
      </c>
      <c r="R117" s="238">
        <v>3724042</v>
      </c>
      <c r="S117" s="234" t="s">
        <v>681</v>
      </c>
      <c r="T117" s="235" t="s">
        <v>781</v>
      </c>
      <c r="U117" s="236" t="s">
        <v>655</v>
      </c>
      <c r="V117" s="153"/>
      <c r="W117" s="153"/>
      <c r="X117" s="153"/>
      <c r="Y117" s="153"/>
      <c r="Z117" s="153"/>
      <c r="AA117" s="153"/>
      <c r="AB117" s="153"/>
    </row>
    <row r="118" spans="1:28" ht="15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239">
        <f t="shared" si="3"/>
        <v>84</v>
      </c>
      <c r="L118" s="237" t="s">
        <v>2281</v>
      </c>
      <c r="M118" s="237">
        <v>3092</v>
      </c>
      <c r="N118" s="240" t="s">
        <v>682</v>
      </c>
      <c r="O118" s="241" t="s">
        <v>610</v>
      </c>
      <c r="P118" s="240" t="s">
        <v>2171</v>
      </c>
      <c r="Q118" s="240" t="s">
        <v>380</v>
      </c>
      <c r="R118" s="238">
        <v>3772047</v>
      </c>
      <c r="S118" s="234" t="s">
        <v>683</v>
      </c>
      <c r="T118" s="235" t="s">
        <v>781</v>
      </c>
      <c r="U118" s="236" t="s">
        <v>655</v>
      </c>
      <c r="V118" s="153"/>
      <c r="W118" s="153"/>
      <c r="X118" s="153"/>
      <c r="Y118" s="153"/>
      <c r="Z118" s="153"/>
      <c r="AA118" s="153"/>
      <c r="AB118" s="153"/>
    </row>
    <row r="119" spans="1:28" ht="15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239">
        <f t="shared" si="3"/>
        <v>85</v>
      </c>
      <c r="L119" s="237" t="s">
        <v>2275</v>
      </c>
      <c r="M119" s="237">
        <v>3105</v>
      </c>
      <c r="N119" s="240" t="s">
        <v>665</v>
      </c>
      <c r="O119" s="241" t="s">
        <v>610</v>
      </c>
      <c r="P119" s="240" t="s">
        <v>666</v>
      </c>
      <c r="Q119" s="240" t="s">
        <v>380</v>
      </c>
      <c r="R119" s="238">
        <v>3793028</v>
      </c>
      <c r="S119" s="234" t="s">
        <v>667</v>
      </c>
      <c r="T119" s="235" t="s">
        <v>781</v>
      </c>
      <c r="U119" s="236" t="s">
        <v>655</v>
      </c>
      <c r="V119" s="153"/>
      <c r="W119" s="153"/>
      <c r="X119" s="153"/>
      <c r="Y119" s="153"/>
      <c r="Z119" s="153"/>
      <c r="AA119" s="153"/>
      <c r="AB119" s="153"/>
    </row>
    <row r="120" spans="1:28" ht="15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239">
        <f t="shared" si="3"/>
        <v>86</v>
      </c>
      <c r="L120" s="237" t="s">
        <v>2277</v>
      </c>
      <c r="M120" s="237">
        <v>3113</v>
      </c>
      <c r="N120" s="240" t="s">
        <v>671</v>
      </c>
      <c r="O120" s="241" t="s">
        <v>610</v>
      </c>
      <c r="P120" s="240" t="s">
        <v>672</v>
      </c>
      <c r="Q120" s="240" t="s">
        <v>380</v>
      </c>
      <c r="R120" s="238">
        <v>3817121</v>
      </c>
      <c r="S120" s="234" t="s">
        <v>673</v>
      </c>
      <c r="T120" s="235" t="s">
        <v>781</v>
      </c>
      <c r="U120" s="236" t="s">
        <v>655</v>
      </c>
      <c r="V120" s="153"/>
      <c r="W120" s="153"/>
      <c r="X120" s="153"/>
      <c r="Y120" s="153"/>
      <c r="Z120" s="153"/>
      <c r="AA120" s="153"/>
      <c r="AB120" s="153"/>
    </row>
    <row r="121" spans="1:28" ht="15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239">
        <f t="shared" si="3"/>
        <v>87</v>
      </c>
      <c r="L121" s="237" t="s">
        <v>2278</v>
      </c>
      <c r="M121" s="237">
        <v>3121</v>
      </c>
      <c r="N121" s="240" t="s">
        <v>674</v>
      </c>
      <c r="O121" s="241" t="s">
        <v>610</v>
      </c>
      <c r="P121" s="240" t="s">
        <v>672</v>
      </c>
      <c r="Q121" s="240" t="s">
        <v>380</v>
      </c>
      <c r="R121" s="238">
        <v>3937658</v>
      </c>
      <c r="S121" s="234" t="s">
        <v>675</v>
      </c>
      <c r="T121" s="235" t="s">
        <v>781</v>
      </c>
      <c r="U121" s="236" t="s">
        <v>655</v>
      </c>
      <c r="V121" s="153"/>
      <c r="W121" s="153"/>
      <c r="X121" s="153"/>
      <c r="Y121" s="153"/>
      <c r="Z121" s="153"/>
      <c r="AA121" s="153"/>
      <c r="AB121" s="153"/>
    </row>
    <row r="122" spans="1:28" ht="15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239">
        <f t="shared" si="3"/>
        <v>88</v>
      </c>
      <c r="L122" s="237" t="s">
        <v>2284</v>
      </c>
      <c r="M122" s="237">
        <v>21061</v>
      </c>
      <c r="N122" s="240" t="s">
        <v>689</v>
      </c>
      <c r="O122" s="241" t="s">
        <v>610</v>
      </c>
      <c r="P122" s="240" t="s">
        <v>690</v>
      </c>
      <c r="Q122" s="240" t="s">
        <v>380</v>
      </c>
      <c r="R122" s="238">
        <v>1259571</v>
      </c>
      <c r="S122" s="234" t="s">
        <v>691</v>
      </c>
      <c r="T122" s="235" t="s">
        <v>781</v>
      </c>
      <c r="U122" s="236" t="s">
        <v>655</v>
      </c>
      <c r="V122" s="153"/>
      <c r="W122" s="153"/>
      <c r="X122" s="153"/>
      <c r="Y122" s="153"/>
      <c r="Z122" s="153"/>
      <c r="AA122" s="153"/>
      <c r="AB122" s="153"/>
    </row>
    <row r="123" spans="1:28" ht="15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239">
        <f t="shared" si="3"/>
        <v>89</v>
      </c>
      <c r="L123" s="237" t="s">
        <v>2295</v>
      </c>
      <c r="M123" s="237">
        <v>21070</v>
      </c>
      <c r="N123" s="240" t="s">
        <v>718</v>
      </c>
      <c r="O123" s="241" t="s">
        <v>610</v>
      </c>
      <c r="P123" s="240" t="s">
        <v>719</v>
      </c>
      <c r="Q123" s="240" t="s">
        <v>380</v>
      </c>
      <c r="R123" s="238">
        <v>1259563</v>
      </c>
      <c r="S123" s="234" t="s">
        <v>720</v>
      </c>
      <c r="T123" s="235" t="s">
        <v>781</v>
      </c>
      <c r="U123" s="236" t="s">
        <v>655</v>
      </c>
      <c r="V123" s="153"/>
      <c r="W123" s="153"/>
      <c r="X123" s="153"/>
      <c r="Y123" s="153"/>
      <c r="Z123" s="153"/>
      <c r="AA123" s="153"/>
      <c r="AB123" s="153"/>
    </row>
    <row r="124" spans="1:28" ht="15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239">
        <f t="shared" si="3"/>
        <v>90</v>
      </c>
      <c r="L124" s="237" t="s">
        <v>2283</v>
      </c>
      <c r="M124" s="237">
        <v>22525</v>
      </c>
      <c r="N124" s="240" t="s">
        <v>686</v>
      </c>
      <c r="O124" s="241" t="s">
        <v>610</v>
      </c>
      <c r="P124" s="240" t="s">
        <v>687</v>
      </c>
      <c r="Q124" s="240" t="s">
        <v>380</v>
      </c>
      <c r="R124" s="238">
        <v>3219518</v>
      </c>
      <c r="S124" s="234" t="s">
        <v>688</v>
      </c>
      <c r="T124" s="235" t="s">
        <v>781</v>
      </c>
      <c r="U124" s="236" t="s">
        <v>655</v>
      </c>
      <c r="V124" s="153"/>
      <c r="W124" s="153"/>
      <c r="X124" s="153"/>
      <c r="Y124" s="153"/>
      <c r="Z124" s="153"/>
      <c r="AA124" s="153"/>
      <c r="AB124" s="153"/>
    </row>
    <row r="125" spans="1:28" ht="15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239">
        <f t="shared" si="3"/>
        <v>91</v>
      </c>
      <c r="L125" s="237" t="s">
        <v>2288</v>
      </c>
      <c r="M125" s="237">
        <v>22621</v>
      </c>
      <c r="N125" s="240" t="s">
        <v>701</v>
      </c>
      <c r="O125" s="241" t="s">
        <v>610</v>
      </c>
      <c r="P125" s="240" t="s">
        <v>2172</v>
      </c>
      <c r="Q125" s="240" t="s">
        <v>380</v>
      </c>
      <c r="R125" s="238">
        <v>3205177</v>
      </c>
      <c r="S125" s="234" t="s">
        <v>702</v>
      </c>
      <c r="T125" s="235" t="s">
        <v>781</v>
      </c>
      <c r="U125" s="236" t="s">
        <v>655</v>
      </c>
      <c r="V125" s="153"/>
      <c r="W125" s="153"/>
      <c r="X125" s="153"/>
      <c r="Y125" s="153"/>
      <c r="Z125" s="153"/>
      <c r="AA125" s="153"/>
      <c r="AB125" s="153"/>
    </row>
    <row r="126" spans="1:28" ht="15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239">
        <f t="shared" si="3"/>
        <v>92</v>
      </c>
      <c r="L126" s="237" t="s">
        <v>2286</v>
      </c>
      <c r="M126" s="237">
        <v>23286</v>
      </c>
      <c r="N126" s="240" t="s">
        <v>695</v>
      </c>
      <c r="O126" s="241" t="s">
        <v>610</v>
      </c>
      <c r="P126" s="240" t="s">
        <v>696</v>
      </c>
      <c r="Q126" s="240" t="s">
        <v>380</v>
      </c>
      <c r="R126" s="238">
        <v>3226344</v>
      </c>
      <c r="S126" s="234" t="s">
        <v>697</v>
      </c>
      <c r="T126" s="235" t="s">
        <v>781</v>
      </c>
      <c r="U126" s="236" t="s">
        <v>655</v>
      </c>
      <c r="V126" s="153"/>
      <c r="W126" s="153"/>
      <c r="X126" s="153"/>
      <c r="Y126" s="153"/>
      <c r="Z126" s="153"/>
      <c r="AA126" s="153"/>
      <c r="AB126" s="153"/>
    </row>
    <row r="127" spans="1:28" ht="15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239">
        <f t="shared" si="3"/>
        <v>93</v>
      </c>
      <c r="L127" s="237" t="s">
        <v>2297</v>
      </c>
      <c r="M127" s="237">
        <v>6179</v>
      </c>
      <c r="N127" s="240" t="s">
        <v>726</v>
      </c>
      <c r="O127" s="241" t="s">
        <v>610</v>
      </c>
      <c r="P127" s="240" t="s">
        <v>727</v>
      </c>
      <c r="Q127" s="240" t="s">
        <v>380</v>
      </c>
      <c r="R127" s="238">
        <v>3899772</v>
      </c>
      <c r="S127" s="234" t="s">
        <v>728</v>
      </c>
      <c r="T127" s="235" t="s">
        <v>2177</v>
      </c>
      <c r="U127" s="236" t="s">
        <v>1236</v>
      </c>
      <c r="V127" s="153"/>
      <c r="W127" s="153"/>
      <c r="X127" s="153"/>
      <c r="Y127" s="153"/>
      <c r="Z127" s="153"/>
      <c r="AA127" s="153"/>
      <c r="AB127" s="153"/>
    </row>
    <row r="128" spans="1:28" ht="15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239">
        <f t="shared" si="3"/>
        <v>94</v>
      </c>
      <c r="L128" s="237" t="s">
        <v>2298</v>
      </c>
      <c r="M128" s="237">
        <v>21836</v>
      </c>
      <c r="N128" s="240" t="s">
        <v>729</v>
      </c>
      <c r="O128" s="241" t="s">
        <v>610</v>
      </c>
      <c r="P128" s="246" t="s">
        <v>730</v>
      </c>
      <c r="Q128" s="240" t="s">
        <v>380</v>
      </c>
      <c r="R128" s="238">
        <v>3205363</v>
      </c>
      <c r="S128" s="234" t="s">
        <v>731</v>
      </c>
      <c r="T128" s="235" t="s">
        <v>754</v>
      </c>
      <c r="U128" s="236" t="s">
        <v>725</v>
      </c>
      <c r="V128" s="153"/>
      <c r="W128" s="153"/>
      <c r="X128" s="153"/>
      <c r="Y128" s="153"/>
      <c r="Z128" s="153"/>
      <c r="AA128" s="153"/>
      <c r="AB128" s="153"/>
    </row>
    <row r="129" spans="1:28" ht="15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239">
        <f t="shared" si="3"/>
        <v>95</v>
      </c>
      <c r="L129" s="237" t="s">
        <v>2299</v>
      </c>
      <c r="M129" s="237">
        <v>21852</v>
      </c>
      <c r="N129" s="240" t="s">
        <v>732</v>
      </c>
      <c r="O129" s="241" t="s">
        <v>610</v>
      </c>
      <c r="P129" s="246" t="s">
        <v>733</v>
      </c>
      <c r="Q129" s="240" t="s">
        <v>380</v>
      </c>
      <c r="R129" s="238">
        <v>1147820</v>
      </c>
      <c r="S129" s="234" t="s">
        <v>734</v>
      </c>
      <c r="T129" s="235" t="s">
        <v>754</v>
      </c>
      <c r="U129" s="236" t="s">
        <v>725</v>
      </c>
      <c r="V129" s="153"/>
      <c r="W129" s="153"/>
      <c r="X129" s="153"/>
      <c r="Y129" s="153"/>
      <c r="Z129" s="153"/>
      <c r="AA129" s="153"/>
      <c r="AB129" s="153"/>
    </row>
    <row r="130" spans="1:28" ht="15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239">
        <f t="shared" si="3"/>
        <v>96</v>
      </c>
      <c r="L130" s="237" t="s">
        <v>2300</v>
      </c>
      <c r="M130" s="237">
        <v>21869</v>
      </c>
      <c r="N130" s="240" t="s">
        <v>735</v>
      </c>
      <c r="O130" s="241" t="s">
        <v>610</v>
      </c>
      <c r="P130" s="246" t="s">
        <v>736</v>
      </c>
      <c r="Q130" s="240" t="s">
        <v>380</v>
      </c>
      <c r="R130" s="238">
        <v>3211622</v>
      </c>
      <c r="S130" s="234" t="s">
        <v>737</v>
      </c>
      <c r="T130" s="235" t="s">
        <v>754</v>
      </c>
      <c r="U130" s="236" t="s">
        <v>725</v>
      </c>
      <c r="V130" s="153"/>
      <c r="W130" s="153"/>
      <c r="X130" s="153"/>
      <c r="Y130" s="153"/>
      <c r="Z130" s="153"/>
      <c r="AA130" s="153"/>
      <c r="AB130" s="153"/>
    </row>
    <row r="131" spans="1:28" ht="15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239">
        <f t="shared" si="3"/>
        <v>97</v>
      </c>
      <c r="L131" s="237" t="s">
        <v>2301</v>
      </c>
      <c r="M131" s="237">
        <v>23665</v>
      </c>
      <c r="N131" s="240" t="s">
        <v>738</v>
      </c>
      <c r="O131" s="241" t="s">
        <v>610</v>
      </c>
      <c r="P131" s="246" t="s">
        <v>733</v>
      </c>
      <c r="Q131" s="240" t="s">
        <v>380</v>
      </c>
      <c r="R131" s="238">
        <v>3283020</v>
      </c>
      <c r="S131" s="234" t="s">
        <v>739</v>
      </c>
      <c r="T131" s="235" t="s">
        <v>754</v>
      </c>
      <c r="U131" s="236" t="s">
        <v>725</v>
      </c>
      <c r="V131" s="153"/>
      <c r="W131" s="153"/>
      <c r="X131" s="153"/>
      <c r="Y131" s="153"/>
      <c r="Z131" s="153"/>
      <c r="AA131" s="153"/>
      <c r="AB131" s="153"/>
    </row>
    <row r="132" spans="1:28" ht="15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239">
        <f t="shared" si="3"/>
        <v>98</v>
      </c>
      <c r="L132" s="237" t="s">
        <v>2302</v>
      </c>
      <c r="M132" s="237">
        <v>23962</v>
      </c>
      <c r="N132" s="240" t="s">
        <v>740</v>
      </c>
      <c r="O132" s="241" t="s">
        <v>610</v>
      </c>
      <c r="P132" s="240" t="s">
        <v>379</v>
      </c>
      <c r="Q132" s="240" t="s">
        <v>380</v>
      </c>
      <c r="R132" s="238">
        <v>1778129</v>
      </c>
      <c r="S132" s="234" t="s">
        <v>741</v>
      </c>
      <c r="T132" s="235" t="s">
        <v>754</v>
      </c>
      <c r="U132" s="236" t="s">
        <v>725</v>
      </c>
      <c r="V132" s="153"/>
      <c r="W132" s="153"/>
      <c r="X132" s="153"/>
      <c r="Y132" s="153"/>
      <c r="Z132" s="153"/>
      <c r="AA132" s="153"/>
      <c r="AB132" s="153"/>
    </row>
    <row r="133" spans="1:28" ht="15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239">
        <f t="shared" si="3"/>
        <v>99</v>
      </c>
      <c r="L133" s="237" t="s">
        <v>2303</v>
      </c>
      <c r="M133" s="237">
        <v>38487</v>
      </c>
      <c r="N133" s="240" t="s">
        <v>742</v>
      </c>
      <c r="O133" s="241" t="s">
        <v>610</v>
      </c>
      <c r="P133" s="246" t="s">
        <v>743</v>
      </c>
      <c r="Q133" s="240" t="s">
        <v>380</v>
      </c>
      <c r="R133" s="238">
        <v>1922548</v>
      </c>
      <c r="S133" s="234" t="s">
        <v>744</v>
      </c>
      <c r="T133" s="235" t="s">
        <v>754</v>
      </c>
      <c r="U133" s="236" t="s">
        <v>725</v>
      </c>
      <c r="V133" s="153"/>
      <c r="W133" s="153"/>
      <c r="X133" s="153"/>
      <c r="Y133" s="153"/>
      <c r="Z133" s="153"/>
      <c r="AA133" s="153"/>
      <c r="AB133" s="153"/>
    </row>
    <row r="134" spans="1:28" ht="15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239">
        <f t="shared" si="3"/>
        <v>100</v>
      </c>
      <c r="L134" s="237" t="s">
        <v>2304</v>
      </c>
      <c r="M134" s="237">
        <v>40883</v>
      </c>
      <c r="N134" s="240" t="s">
        <v>745</v>
      </c>
      <c r="O134" s="241" t="s">
        <v>610</v>
      </c>
      <c r="P134" s="246" t="s">
        <v>746</v>
      </c>
      <c r="Q134" s="240" t="s">
        <v>380</v>
      </c>
      <c r="R134" s="238">
        <v>1943430</v>
      </c>
      <c r="S134" s="234" t="s">
        <v>747</v>
      </c>
      <c r="T134" s="235" t="s">
        <v>754</v>
      </c>
      <c r="U134" s="236" t="s">
        <v>725</v>
      </c>
      <c r="V134" s="153"/>
      <c r="W134" s="153"/>
      <c r="X134" s="153"/>
      <c r="Y134" s="153"/>
      <c r="Z134" s="153"/>
      <c r="AA134" s="153"/>
      <c r="AB134" s="153"/>
    </row>
    <row r="135" spans="1:28" ht="15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239">
        <f t="shared" si="3"/>
        <v>101</v>
      </c>
      <c r="L135" s="237" t="s">
        <v>2305</v>
      </c>
      <c r="M135" s="237">
        <v>43335</v>
      </c>
      <c r="N135" s="240" t="s">
        <v>748</v>
      </c>
      <c r="O135" s="241" t="s">
        <v>610</v>
      </c>
      <c r="P135" s="246" t="s">
        <v>736</v>
      </c>
      <c r="Q135" s="240" t="s">
        <v>380</v>
      </c>
      <c r="R135" s="238">
        <v>2298007</v>
      </c>
      <c r="S135" s="234" t="s">
        <v>749</v>
      </c>
      <c r="T135" s="235" t="s">
        <v>754</v>
      </c>
      <c r="U135" s="236" t="s">
        <v>725</v>
      </c>
      <c r="V135" s="153"/>
      <c r="W135" s="153"/>
      <c r="X135" s="153"/>
      <c r="Y135" s="153"/>
      <c r="Z135" s="153"/>
      <c r="AA135" s="153"/>
      <c r="AB135" s="153"/>
    </row>
    <row r="136" spans="1:28" ht="15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239">
        <f t="shared" si="3"/>
        <v>102</v>
      </c>
      <c r="L136" s="237" t="s">
        <v>2306</v>
      </c>
      <c r="M136" s="237">
        <v>46173</v>
      </c>
      <c r="N136" s="240" t="s">
        <v>750</v>
      </c>
      <c r="O136" s="241" t="s">
        <v>610</v>
      </c>
      <c r="P136" s="246" t="s">
        <v>751</v>
      </c>
      <c r="Q136" s="240" t="s">
        <v>380</v>
      </c>
      <c r="R136" s="238">
        <v>2650029</v>
      </c>
      <c r="S136" s="234" t="s">
        <v>752</v>
      </c>
      <c r="T136" s="235" t="s">
        <v>754</v>
      </c>
      <c r="U136" s="236" t="s">
        <v>725</v>
      </c>
      <c r="V136" s="153"/>
      <c r="W136" s="153"/>
      <c r="X136" s="153"/>
      <c r="Y136" s="153"/>
      <c r="Z136" s="153"/>
      <c r="AA136" s="153"/>
      <c r="AB136" s="153"/>
    </row>
    <row r="137" spans="1:28" ht="15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</row>
    <row r="138" spans="1:28" ht="15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</row>
    <row r="139" spans="1:28" ht="15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</row>
    <row r="140" spans="1:28" ht="15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</row>
    <row r="141" spans="1:28" ht="15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</row>
    <row r="142" spans="1:28" ht="15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</row>
    <row r="143" spans="1:28" ht="15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</row>
    <row r="144" spans="1:28" ht="15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</row>
    <row r="145" spans="1:28" ht="15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</row>
    <row r="146" spans="1:28" ht="15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</row>
    <row r="147" spans="1:28" ht="15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</row>
    <row r="148" spans="1:28" ht="15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</row>
    <row r="149" spans="1:28" ht="15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</row>
    <row r="150" spans="1:28" ht="15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</row>
    <row r="151" spans="1:28" ht="15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</row>
    <row r="152" spans="1:28" ht="15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</row>
    <row r="153" spans="1:28" ht="15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</row>
    <row r="154" spans="1:28" ht="15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</row>
    <row r="155" spans="1:28" ht="15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</row>
    <row r="156" spans="1:28" ht="15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</row>
    <row r="157" spans="1:28" ht="15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</row>
    <row r="158" spans="1:28" ht="15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</row>
    <row r="159" spans="1:28" ht="15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</row>
    <row r="160" spans="1:28" ht="15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</row>
    <row r="161" spans="1:28" ht="15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</row>
    <row r="162" spans="1:28" ht="15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</row>
    <row r="163" spans="1:28" ht="15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</row>
    <row r="164" spans="1:28" ht="15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</row>
    <row r="165" spans="1:28" ht="15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</row>
    <row r="166" spans="1:28" ht="15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</row>
    <row r="167" spans="1:28" ht="15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</row>
    <row r="168" spans="1:28" ht="15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</row>
    <row r="169" spans="1:28" ht="15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</row>
    <row r="170" spans="1:28" ht="15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</row>
    <row r="171" spans="1:28" ht="15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</row>
    <row r="172" spans="1:28" ht="15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</row>
    <row r="173" spans="1:28" ht="15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</row>
    <row r="174" spans="1:28" ht="15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</row>
    <row r="175" spans="1:28" ht="15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</row>
    <row r="176" spans="1:28" ht="15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</row>
    <row r="177" spans="1:28" ht="15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</row>
    <row r="178" spans="1:28" ht="15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</row>
    <row r="179" spans="1:28" ht="15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</row>
    <row r="180" spans="1:28" ht="15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</row>
    <row r="181" spans="1:28" ht="15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</row>
    <row r="182" spans="1:28" ht="15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</row>
    <row r="183" spans="1:28" ht="15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</row>
    <row r="184" spans="1:28" ht="15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</row>
    <row r="185" spans="1:28" ht="15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</row>
    <row r="186" spans="1:28" ht="15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</row>
    <row r="187" spans="1:28" ht="15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</row>
    <row r="188" spans="1:28" ht="15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</row>
    <row r="189" spans="1:28" ht="15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</row>
    <row r="190" spans="1:28" ht="15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</row>
    <row r="191" spans="1:28" ht="15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</row>
    <row r="192" spans="1:28" ht="15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</row>
    <row r="193" spans="1:28" ht="15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</row>
    <row r="194" spans="1:28" ht="15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</row>
    <row r="195" spans="1:28" ht="15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</row>
    <row r="196" spans="1:28" ht="15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</row>
    <row r="197" spans="1:28" ht="15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</row>
    <row r="198" spans="1:28" ht="15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</row>
    <row r="199" spans="1:28" ht="15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</row>
    <row r="200" spans="1:28" ht="15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</row>
    <row r="201" spans="1:28" ht="15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</row>
    <row r="202" spans="1:28" ht="15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</row>
    <row r="203" spans="1:28" ht="15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</row>
    <row r="204" spans="1:28" ht="15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</row>
    <row r="205" spans="1:28" ht="15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</row>
    <row r="206" spans="1:28" ht="15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</row>
    <row r="207" spans="1:28" ht="15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</row>
    <row r="208" spans="1:28" ht="15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</row>
    <row r="209" spans="1:28" ht="15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</row>
    <row r="210" spans="1:28" ht="15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</row>
    <row r="211" spans="1:28" ht="15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</row>
    <row r="212" spans="1:28" ht="15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</row>
    <row r="213" spans="1:28" ht="15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</row>
    <row r="214" spans="1:28" ht="15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</row>
    <row r="215" spans="1:28" ht="15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</row>
    <row r="216" spans="1:28" ht="15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</row>
    <row r="217" spans="1:28" ht="15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</row>
    <row r="218" spans="1:28" ht="15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</row>
    <row r="219" spans="1:28" ht="15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</row>
    <row r="220" spans="1:28" ht="15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</row>
    <row r="221" spans="1:28" ht="15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</row>
    <row r="222" spans="1:28" ht="15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</row>
    <row r="223" spans="1:28" ht="15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</row>
    <row r="224" spans="1:28" ht="15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</row>
    <row r="225" spans="1:28" ht="15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</row>
    <row r="226" spans="1:28" ht="15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</row>
    <row r="227" spans="1:28" ht="15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</row>
    <row r="228" spans="1:28" ht="15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</row>
    <row r="229" spans="1:28" ht="15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</row>
    <row r="230" spans="1:28" ht="15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</row>
    <row r="231" spans="1:28" ht="15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</row>
    <row r="232" spans="1:28" ht="15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</row>
    <row r="233" spans="1:28" ht="15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</row>
    <row r="234" spans="1:28" ht="15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</row>
    <row r="235" spans="1:28" ht="15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</row>
    <row r="236" spans="1:28" ht="15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</row>
    <row r="237" spans="1:28" ht="15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</row>
    <row r="238" spans="1:28" ht="15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</row>
    <row r="239" spans="1:28" ht="15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</row>
    <row r="240" spans="1:28" ht="15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</row>
    <row r="241" spans="1:28" ht="15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</row>
    <row r="242" spans="1:28" ht="15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</row>
    <row r="243" spans="1:28" ht="15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</row>
    <row r="244" spans="1:28" ht="15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</row>
    <row r="245" spans="1:28" ht="15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</row>
    <row r="246" spans="1:28" ht="15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</row>
    <row r="247" spans="1:28" ht="15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</row>
    <row r="248" spans="1:28" ht="15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</row>
    <row r="249" spans="1:28" ht="15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</row>
    <row r="250" spans="1:28" ht="15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</row>
    <row r="251" spans="1:28" ht="15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</row>
    <row r="252" spans="1:28" ht="15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</row>
    <row r="253" spans="1:28" ht="15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</row>
    <row r="254" spans="1:28" ht="15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</row>
    <row r="255" spans="1:28" ht="15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</row>
    <row r="256" spans="1:28" ht="15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</row>
    <row r="257" spans="1:28" ht="15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</row>
    <row r="258" spans="1:28" ht="15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</row>
    <row r="259" spans="1:28" ht="15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</row>
    <row r="260" spans="1:28" ht="15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</row>
    <row r="261" spans="1:28" ht="15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</row>
    <row r="262" spans="1:28" ht="15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</row>
    <row r="263" spans="1:28" ht="15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</row>
    <row r="264" spans="1:28" ht="15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</row>
    <row r="265" spans="1:28" ht="15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</row>
    <row r="266" spans="1:28" ht="15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</row>
    <row r="267" spans="1:28" ht="15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</row>
    <row r="268" spans="1:28" ht="15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</row>
    <row r="269" spans="1:28" ht="15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</row>
    <row r="270" spans="1:28" ht="15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</row>
    <row r="271" spans="1:28" ht="15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</row>
    <row r="272" spans="1:28" ht="15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</row>
    <row r="273" spans="1:28" ht="15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</row>
    <row r="274" spans="1:28" ht="15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</row>
    <row r="275" spans="1:28" ht="15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</row>
    <row r="276" spans="1:28" ht="15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</row>
    <row r="277" spans="1:28" ht="15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</row>
    <row r="278" spans="1:28" ht="15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</row>
    <row r="279" spans="1:28" ht="15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</row>
    <row r="280" spans="1:28" ht="15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</row>
    <row r="281" spans="1:28" ht="15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</row>
    <row r="282" spans="1:28" ht="15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</row>
    <row r="283" spans="1:28" ht="15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</row>
    <row r="284" spans="1:28" ht="15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</row>
    <row r="285" spans="1:28" ht="15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</row>
    <row r="286" spans="1:28" ht="15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</row>
    <row r="287" spans="1:28" ht="15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</row>
    <row r="288" spans="1:28" ht="15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</row>
    <row r="289" spans="1:28" ht="15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</row>
    <row r="290" spans="1:28" ht="15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</row>
    <row r="291" spans="1:28" ht="15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</row>
    <row r="292" spans="1:28" ht="15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</row>
    <row r="293" spans="1:28" ht="15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</row>
    <row r="294" spans="1:28" ht="15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</row>
    <row r="295" spans="1:28" ht="15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</row>
    <row r="296" spans="1:28" ht="15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</row>
    <row r="297" spans="1:28" ht="15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</row>
    <row r="298" spans="1:28" ht="15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</row>
    <row r="299" spans="1:28" ht="15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</row>
    <row r="300" spans="1:28" ht="15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</row>
    <row r="301" spans="1:28" ht="15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  <c r="V301" s="153"/>
      <c r="W301" s="153"/>
      <c r="X301" s="153"/>
      <c r="Y301" s="153"/>
      <c r="Z301" s="153"/>
      <c r="AA301" s="153"/>
      <c r="AB301" s="153"/>
    </row>
    <row r="302" spans="1:28" ht="15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53"/>
      <c r="P302" s="153"/>
      <c r="Q302" s="153"/>
      <c r="R302" s="153"/>
      <c r="S302" s="153"/>
      <c r="T302" s="153"/>
      <c r="U302" s="153"/>
      <c r="V302" s="153"/>
      <c r="W302" s="153"/>
      <c r="X302" s="153"/>
      <c r="Y302" s="153"/>
      <c r="Z302" s="153"/>
      <c r="AA302" s="153"/>
      <c r="AB302" s="153"/>
    </row>
    <row r="303" spans="1:28" ht="15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3"/>
      <c r="Q303" s="153"/>
      <c r="R303" s="153"/>
      <c r="S303" s="153"/>
      <c r="T303" s="153"/>
      <c r="U303" s="153"/>
      <c r="V303" s="153"/>
      <c r="W303" s="153"/>
      <c r="X303" s="153"/>
      <c r="Y303" s="153"/>
      <c r="Z303" s="153"/>
      <c r="AA303" s="153"/>
      <c r="AB303" s="153"/>
    </row>
    <row r="304" spans="1:28" ht="15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153"/>
      <c r="M304" s="153"/>
      <c r="N304" s="153"/>
      <c r="O304" s="153"/>
      <c r="P304" s="153"/>
      <c r="Q304" s="153"/>
      <c r="R304" s="153"/>
      <c r="S304" s="153"/>
      <c r="T304" s="153"/>
      <c r="U304" s="153"/>
      <c r="V304" s="153"/>
      <c r="W304" s="153"/>
      <c r="X304" s="153"/>
      <c r="Y304" s="153"/>
      <c r="Z304" s="153"/>
      <c r="AA304" s="153"/>
      <c r="AB304" s="153"/>
    </row>
    <row r="305" spans="1:28" ht="15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53"/>
      <c r="N305" s="153"/>
      <c r="O305" s="153"/>
      <c r="P305" s="153"/>
      <c r="Q305" s="153"/>
      <c r="R305" s="153"/>
      <c r="S305" s="153"/>
      <c r="T305" s="153"/>
      <c r="U305" s="153"/>
      <c r="V305" s="153"/>
      <c r="W305" s="153"/>
      <c r="X305" s="153"/>
      <c r="Y305" s="153"/>
      <c r="Z305" s="153"/>
      <c r="AA305" s="153"/>
      <c r="AB305" s="153"/>
    </row>
    <row r="306" spans="1:28" ht="15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153"/>
      <c r="V306" s="153"/>
      <c r="W306" s="153"/>
      <c r="X306" s="153"/>
      <c r="Y306" s="153"/>
      <c r="Z306" s="153"/>
      <c r="AA306" s="153"/>
      <c r="AB306" s="153"/>
    </row>
    <row r="307" spans="1:28" ht="15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</row>
    <row r="308" spans="1:28" ht="15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/>
      <c r="Z308" s="153"/>
      <c r="AA308" s="153"/>
      <c r="AB308" s="153"/>
    </row>
    <row r="309" spans="1:28" ht="15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153"/>
      <c r="V309" s="153"/>
      <c r="W309" s="153"/>
      <c r="X309" s="153"/>
      <c r="Y309" s="153"/>
      <c r="Z309" s="153"/>
      <c r="AA309" s="153"/>
      <c r="AB309" s="153"/>
    </row>
    <row r="310" spans="1:28" ht="15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153"/>
      <c r="P310" s="153"/>
      <c r="Q310" s="153"/>
      <c r="R310" s="153"/>
      <c r="S310" s="153"/>
      <c r="T310" s="153"/>
      <c r="U310" s="153"/>
      <c r="V310" s="153"/>
      <c r="W310" s="153"/>
      <c r="X310" s="153"/>
      <c r="Y310" s="153"/>
      <c r="Z310" s="153"/>
      <c r="AA310" s="153"/>
      <c r="AB310" s="153"/>
    </row>
    <row r="311" spans="1:28" ht="15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  <c r="M311" s="153"/>
      <c r="N311" s="153"/>
      <c r="O311" s="153"/>
      <c r="P311" s="153"/>
      <c r="Q311" s="153"/>
      <c r="R311" s="153"/>
      <c r="S311" s="153"/>
      <c r="T311" s="153"/>
      <c r="U311" s="153"/>
      <c r="V311" s="153"/>
      <c r="W311" s="153"/>
      <c r="X311" s="153"/>
      <c r="Y311" s="153"/>
      <c r="Z311" s="153"/>
      <c r="AA311" s="153"/>
      <c r="AB311" s="153"/>
    </row>
    <row r="312" spans="1:28" ht="15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  <c r="O312" s="153"/>
      <c r="P312" s="153"/>
      <c r="Q312" s="153"/>
      <c r="R312" s="153"/>
      <c r="S312" s="153"/>
      <c r="T312" s="153"/>
      <c r="U312" s="153"/>
      <c r="V312" s="153"/>
      <c r="W312" s="153"/>
      <c r="X312" s="153"/>
      <c r="Y312" s="153"/>
      <c r="Z312" s="153"/>
      <c r="AA312" s="153"/>
      <c r="AB312" s="153"/>
    </row>
    <row r="313" spans="1:28" ht="15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53"/>
      <c r="P313" s="153"/>
      <c r="Q313" s="153"/>
      <c r="R313" s="153"/>
      <c r="S313" s="153"/>
      <c r="T313" s="153"/>
      <c r="U313" s="153"/>
      <c r="V313" s="153"/>
      <c r="W313" s="153"/>
      <c r="X313" s="153"/>
      <c r="Y313" s="153"/>
      <c r="Z313" s="153"/>
      <c r="AA313" s="153"/>
      <c r="AB313" s="153"/>
    </row>
    <row r="314" spans="1:28" ht="15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3"/>
      <c r="Q314" s="153"/>
      <c r="R314" s="153"/>
      <c r="S314" s="153"/>
      <c r="T314" s="153"/>
      <c r="U314" s="153"/>
      <c r="V314" s="153"/>
      <c r="W314" s="153"/>
      <c r="X314" s="153"/>
      <c r="Y314" s="153"/>
      <c r="Z314" s="153"/>
      <c r="AA314" s="153"/>
      <c r="AB314" s="153"/>
    </row>
    <row r="315" spans="1:28" ht="15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3"/>
      <c r="Q315" s="153"/>
      <c r="R315" s="153"/>
      <c r="S315" s="153"/>
      <c r="T315" s="153"/>
      <c r="U315" s="153"/>
      <c r="V315" s="153"/>
      <c r="W315" s="153"/>
      <c r="X315" s="153"/>
      <c r="Y315" s="153"/>
      <c r="Z315" s="153"/>
      <c r="AA315" s="153"/>
      <c r="AB315" s="153"/>
    </row>
    <row r="316" spans="1:28" ht="15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53"/>
      <c r="N316" s="153"/>
      <c r="O316" s="153"/>
      <c r="P316" s="153"/>
      <c r="Q316" s="153"/>
      <c r="R316" s="153"/>
      <c r="S316" s="153"/>
      <c r="T316" s="153"/>
      <c r="U316" s="153"/>
      <c r="V316" s="153"/>
      <c r="W316" s="153"/>
      <c r="X316" s="153"/>
      <c r="Y316" s="153"/>
      <c r="Z316" s="153"/>
      <c r="AA316" s="153"/>
      <c r="AB316" s="153"/>
    </row>
    <row r="317" spans="1:28" ht="15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153"/>
      <c r="X317" s="153"/>
      <c r="Y317" s="153"/>
      <c r="Z317" s="153"/>
      <c r="AA317" s="153"/>
      <c r="AB317" s="153"/>
    </row>
    <row r="318" spans="1:28" ht="15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53"/>
      <c r="P318" s="153"/>
      <c r="Q318" s="153"/>
      <c r="R318" s="153"/>
      <c r="S318" s="153"/>
      <c r="T318" s="153"/>
      <c r="U318" s="153"/>
      <c r="V318" s="153"/>
      <c r="W318" s="153"/>
      <c r="X318" s="153"/>
      <c r="Y318" s="153"/>
      <c r="Z318" s="153"/>
      <c r="AA318" s="153"/>
      <c r="AB318" s="153"/>
    </row>
    <row r="319" spans="1:28" ht="15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  <c r="M319" s="153"/>
      <c r="N319" s="153"/>
      <c r="O319" s="153"/>
      <c r="P319" s="153"/>
      <c r="Q319" s="153"/>
      <c r="R319" s="153"/>
      <c r="S319" s="153"/>
      <c r="T319" s="153"/>
      <c r="U319" s="153"/>
      <c r="V319" s="153"/>
      <c r="W319" s="153"/>
      <c r="X319" s="153"/>
      <c r="Y319" s="153"/>
      <c r="Z319" s="153"/>
      <c r="AA319" s="153"/>
      <c r="AB319" s="153"/>
    </row>
    <row r="320" spans="1:28" ht="15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153"/>
      <c r="O320" s="153"/>
      <c r="P320" s="153"/>
      <c r="Q320" s="153"/>
      <c r="R320" s="153"/>
      <c r="S320" s="153"/>
      <c r="T320" s="153"/>
      <c r="U320" s="153"/>
      <c r="V320" s="153"/>
      <c r="W320" s="153"/>
      <c r="X320" s="153"/>
      <c r="Y320" s="153"/>
      <c r="Z320" s="153"/>
      <c r="AA320" s="153"/>
      <c r="AB320" s="153"/>
    </row>
    <row r="321" spans="1:28" ht="15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  <c r="O321" s="153"/>
      <c r="P321" s="153"/>
      <c r="Q321" s="153"/>
      <c r="R321" s="153"/>
      <c r="S321" s="153"/>
      <c r="T321" s="153"/>
      <c r="U321" s="153"/>
      <c r="V321" s="153"/>
      <c r="W321" s="153"/>
      <c r="X321" s="153"/>
      <c r="Y321" s="153"/>
      <c r="Z321" s="153"/>
      <c r="AA321" s="153"/>
      <c r="AB321" s="153"/>
    </row>
    <row r="322" spans="1:28" ht="15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  <c r="M322" s="153"/>
      <c r="N322" s="153"/>
      <c r="O322" s="153"/>
      <c r="P322" s="153"/>
      <c r="Q322" s="153"/>
      <c r="R322" s="153"/>
      <c r="S322" s="153"/>
      <c r="T322" s="153"/>
      <c r="U322" s="153"/>
      <c r="V322" s="153"/>
      <c r="W322" s="153"/>
      <c r="X322" s="153"/>
      <c r="Y322" s="153"/>
      <c r="Z322" s="153"/>
      <c r="AA322" s="153"/>
      <c r="AB322" s="153"/>
    </row>
    <row r="323" spans="1:28" ht="15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3"/>
      <c r="Z323" s="153"/>
      <c r="AA323" s="153"/>
      <c r="AB323" s="153"/>
    </row>
    <row r="324" spans="1:28" ht="15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  <c r="L324" s="153"/>
      <c r="M324" s="153"/>
      <c r="N324" s="153"/>
      <c r="O324" s="153"/>
      <c r="P324" s="153"/>
      <c r="Q324" s="153"/>
      <c r="R324" s="153"/>
      <c r="S324" s="153"/>
      <c r="T324" s="153"/>
      <c r="U324" s="153"/>
      <c r="V324" s="153"/>
      <c r="W324" s="153"/>
      <c r="X324" s="153"/>
      <c r="Y324" s="153"/>
      <c r="Z324" s="153"/>
      <c r="AA324" s="153"/>
      <c r="AB324" s="153"/>
    </row>
    <row r="325" spans="1:28" ht="15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3"/>
      <c r="Q325" s="153"/>
      <c r="R325" s="153"/>
      <c r="S325" s="153"/>
      <c r="T325" s="153"/>
      <c r="U325" s="153"/>
      <c r="V325" s="153"/>
      <c r="W325" s="153"/>
      <c r="X325" s="153"/>
      <c r="Y325" s="153"/>
      <c r="Z325" s="153"/>
      <c r="AA325" s="153"/>
      <c r="AB325" s="153"/>
    </row>
    <row r="326" spans="1:28" ht="15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3"/>
      <c r="Q326" s="153"/>
      <c r="R326" s="153"/>
      <c r="S326" s="153"/>
      <c r="T326" s="153"/>
      <c r="U326" s="153"/>
      <c r="V326" s="153"/>
      <c r="W326" s="153"/>
      <c r="X326" s="153"/>
      <c r="Y326" s="153"/>
      <c r="Z326" s="153"/>
      <c r="AA326" s="153"/>
      <c r="AB326" s="153"/>
    </row>
    <row r="327" spans="1:28" ht="15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/>
      <c r="Z327" s="153"/>
      <c r="AA327" s="153"/>
      <c r="AB327" s="153"/>
    </row>
    <row r="328" spans="1:28" ht="15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/>
      <c r="Z328" s="153"/>
      <c r="AA328" s="153"/>
      <c r="AB328" s="153"/>
    </row>
    <row r="329" spans="1:28" ht="15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53"/>
      <c r="Y329" s="153"/>
      <c r="Z329" s="153"/>
      <c r="AA329" s="153"/>
      <c r="AB329" s="153"/>
    </row>
    <row r="330" spans="1:28" ht="15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/>
      <c r="Z330" s="153"/>
      <c r="AA330" s="153"/>
      <c r="AB330" s="153"/>
    </row>
    <row r="331" spans="1:28" ht="15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  <c r="AA331" s="153"/>
      <c r="AB331" s="153"/>
    </row>
    <row r="332" spans="1:28" ht="15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/>
      <c r="Z332" s="153"/>
      <c r="AA332" s="153"/>
      <c r="AB332" s="153"/>
    </row>
    <row r="333" spans="1:28" ht="15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  <c r="AA333" s="153"/>
      <c r="AB333" s="153"/>
    </row>
    <row r="334" spans="1:28" ht="15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153"/>
      <c r="AA334" s="153"/>
      <c r="AB334" s="153"/>
    </row>
    <row r="335" spans="1:28" ht="15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  <c r="AB335" s="153"/>
    </row>
    <row r="336" spans="1:28" ht="15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</row>
    <row r="337" spans="1:28" ht="15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  <c r="AA337" s="153"/>
      <c r="AB337" s="153"/>
    </row>
    <row r="338" spans="1:28" ht="15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  <c r="AB338" s="153"/>
    </row>
    <row r="339" spans="1:28" ht="15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  <c r="AA339" s="153"/>
      <c r="AB339" s="153"/>
    </row>
    <row r="340" spans="1:28" ht="15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  <c r="AB340" s="153"/>
    </row>
    <row r="341" spans="1:28" ht="15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  <c r="AA341" s="153"/>
      <c r="AB341" s="153"/>
    </row>
    <row r="342" spans="1:28" ht="15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  <c r="AA342" s="153"/>
      <c r="AB342" s="153"/>
    </row>
    <row r="343" spans="1:28" ht="15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</row>
    <row r="344" spans="1:28" ht="15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  <c r="AA344" s="153"/>
      <c r="AB344" s="153"/>
    </row>
    <row r="345" spans="1:28" ht="15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  <c r="AA345" s="153"/>
      <c r="AB345" s="153"/>
    </row>
    <row r="346" spans="1:28" ht="15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  <c r="AB346" s="153"/>
    </row>
    <row r="347" spans="1:28" ht="15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  <c r="V347" s="153"/>
      <c r="W347" s="153"/>
      <c r="X347" s="153"/>
      <c r="Y347" s="153"/>
      <c r="Z347" s="153"/>
      <c r="AA347" s="153"/>
      <c r="AB347" s="153"/>
    </row>
    <row r="348" spans="1:28" ht="15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/>
      <c r="Z348" s="153"/>
      <c r="AA348" s="153"/>
      <c r="AB348" s="153"/>
    </row>
    <row r="349" spans="1:28" ht="15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/>
      <c r="Z349" s="153"/>
      <c r="AA349" s="153"/>
      <c r="AB349" s="153"/>
    </row>
    <row r="350" spans="1:28" ht="15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  <c r="AB350" s="153"/>
    </row>
    <row r="351" spans="1:28" ht="15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  <c r="V351" s="153"/>
      <c r="W351" s="153"/>
      <c r="X351" s="153"/>
      <c r="Y351" s="153"/>
      <c r="Z351" s="153"/>
      <c r="AA351" s="153"/>
      <c r="AB351" s="153"/>
    </row>
    <row r="352" spans="1:28" ht="15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  <c r="AB352" s="153"/>
    </row>
    <row r="353" spans="1:28" ht="15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  <c r="AB353" s="153"/>
    </row>
    <row r="354" spans="1:28" ht="15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  <c r="AB354" s="153"/>
    </row>
    <row r="355" spans="1:28" ht="15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  <c r="AB355" s="153"/>
    </row>
    <row r="356" spans="1:28" ht="15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  <c r="V356" s="153"/>
      <c r="W356" s="153"/>
      <c r="X356" s="153"/>
      <c r="Y356" s="153"/>
      <c r="Z356" s="153"/>
      <c r="AA356" s="153"/>
      <c r="AB356" s="153"/>
    </row>
    <row r="357" spans="1:28" ht="15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  <c r="AA357" s="153"/>
      <c r="AB357" s="153"/>
    </row>
    <row r="358" spans="1:28" ht="15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  <c r="AA358" s="153"/>
      <c r="AB358" s="153"/>
    </row>
    <row r="359" spans="1:28" ht="15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  <c r="V359" s="153"/>
      <c r="W359" s="153"/>
      <c r="X359" s="153"/>
      <c r="Y359" s="153"/>
      <c r="Z359" s="153"/>
      <c r="AA359" s="153"/>
      <c r="AB359" s="153"/>
    </row>
    <row r="360" spans="1:28" ht="15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  <c r="V360" s="153"/>
      <c r="W360" s="153"/>
      <c r="X360" s="153"/>
      <c r="Y360" s="153"/>
      <c r="Z360" s="153"/>
      <c r="AA360" s="153"/>
      <c r="AB360" s="153"/>
    </row>
    <row r="361" spans="1:28" ht="15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  <c r="AA361" s="153"/>
      <c r="AB361" s="153"/>
    </row>
    <row r="362" spans="1:28" ht="15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  <c r="V362" s="153"/>
      <c r="W362" s="153"/>
      <c r="X362" s="153"/>
      <c r="Y362" s="153"/>
      <c r="Z362" s="153"/>
      <c r="AA362" s="153"/>
      <c r="AB362" s="153"/>
    </row>
    <row r="363" spans="1:28" ht="15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  <c r="AA363" s="153"/>
      <c r="AB363" s="153"/>
    </row>
    <row r="364" spans="1:28" ht="15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  <c r="V364" s="153"/>
      <c r="W364" s="153"/>
      <c r="X364" s="153"/>
      <c r="Y364" s="153"/>
      <c r="Z364" s="153"/>
      <c r="AA364" s="153"/>
      <c r="AB364" s="153"/>
    </row>
    <row r="365" spans="1:28" ht="15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  <c r="V365" s="153"/>
      <c r="W365" s="153"/>
      <c r="X365" s="153"/>
      <c r="Y365" s="153"/>
      <c r="Z365" s="153"/>
      <c r="AA365" s="153"/>
      <c r="AB365" s="153"/>
    </row>
    <row r="366" spans="1:28" ht="15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  <c r="V366" s="153"/>
      <c r="W366" s="153"/>
      <c r="X366" s="153"/>
      <c r="Y366" s="153"/>
      <c r="Z366" s="153"/>
      <c r="AA366" s="153"/>
      <c r="AB366" s="153"/>
    </row>
    <row r="367" spans="1:28" ht="15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  <c r="V367" s="153"/>
      <c r="W367" s="153"/>
      <c r="X367" s="153"/>
      <c r="Y367" s="153"/>
      <c r="Z367" s="153"/>
      <c r="AA367" s="153"/>
      <c r="AB367" s="153"/>
    </row>
    <row r="368" spans="1:28" ht="15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  <c r="V368" s="153"/>
      <c r="W368" s="153"/>
      <c r="X368" s="153"/>
      <c r="Y368" s="153"/>
      <c r="Z368" s="153"/>
      <c r="AA368" s="153"/>
      <c r="AB368" s="153"/>
    </row>
    <row r="369" spans="1:28" ht="15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  <c r="V369" s="153"/>
      <c r="W369" s="153"/>
      <c r="X369" s="153"/>
      <c r="Y369" s="153"/>
      <c r="Z369" s="153"/>
      <c r="AA369" s="153"/>
      <c r="AB369" s="153"/>
    </row>
    <row r="370" spans="1:28" ht="15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  <c r="V370" s="153"/>
      <c r="W370" s="153"/>
      <c r="X370" s="153"/>
      <c r="Y370" s="153"/>
      <c r="Z370" s="153"/>
      <c r="AA370" s="153"/>
      <c r="AB370" s="153"/>
    </row>
    <row r="371" spans="1:28" ht="15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  <c r="AA371" s="153"/>
      <c r="AB371" s="153"/>
    </row>
    <row r="372" spans="1:28" ht="15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53"/>
      <c r="Y372" s="153"/>
      <c r="Z372" s="153"/>
      <c r="AA372" s="153"/>
      <c r="AB372" s="153"/>
    </row>
    <row r="373" spans="1:28" ht="15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  <c r="X373" s="153"/>
      <c r="Y373" s="153"/>
      <c r="Z373" s="153"/>
      <c r="AA373" s="153"/>
      <c r="AB373" s="153"/>
    </row>
    <row r="374" spans="1:28" ht="15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  <c r="AA374" s="153"/>
      <c r="AB374" s="153"/>
    </row>
    <row r="375" spans="1:28" ht="15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  <c r="V375" s="153"/>
      <c r="W375" s="153"/>
      <c r="X375" s="153"/>
      <c r="Y375" s="153"/>
      <c r="Z375" s="153"/>
      <c r="AA375" s="153"/>
      <c r="AB375" s="153"/>
    </row>
    <row r="376" spans="1:28" ht="15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  <c r="V376" s="153"/>
      <c r="W376" s="153"/>
      <c r="X376" s="153"/>
      <c r="Y376" s="153"/>
      <c r="Z376" s="153"/>
      <c r="AA376" s="153"/>
      <c r="AB376" s="153"/>
    </row>
    <row r="377" spans="1:28" ht="15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  <c r="AA377" s="153"/>
      <c r="AB377" s="153"/>
    </row>
    <row r="378" spans="1:28" ht="15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  <c r="AA378" s="153"/>
      <c r="AB378" s="153"/>
    </row>
    <row r="379" spans="1:28" ht="15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  <c r="AA379" s="153"/>
      <c r="AB379" s="153"/>
    </row>
    <row r="380" spans="1:28" ht="15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  <c r="AA380" s="153"/>
      <c r="AB380" s="153"/>
    </row>
    <row r="381" spans="1:28" ht="15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  <c r="AA381" s="153"/>
      <c r="AB381" s="153"/>
    </row>
    <row r="382" spans="1:28" ht="15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  <c r="AA382" s="153"/>
      <c r="AB382" s="153"/>
    </row>
    <row r="383" spans="1:28" ht="15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  <c r="AA383" s="153"/>
      <c r="AB383" s="153"/>
    </row>
    <row r="384" spans="1:28" ht="15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  <c r="AA384" s="153"/>
      <c r="AB384" s="153"/>
    </row>
    <row r="385" spans="1:28" ht="15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  <c r="AA385" s="153"/>
      <c r="AB385" s="153"/>
    </row>
    <row r="386" spans="1:28" ht="15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  <c r="AA386" s="153"/>
      <c r="AB386" s="153"/>
    </row>
    <row r="387" spans="1:28" ht="15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  <c r="AA387" s="153"/>
      <c r="AB387" s="153"/>
    </row>
    <row r="388" spans="1:28" ht="15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  <c r="AA388" s="153"/>
      <c r="AB388" s="153"/>
    </row>
    <row r="389" spans="1:28" ht="15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  <c r="AA389" s="153"/>
      <c r="AB389" s="153"/>
    </row>
    <row r="390" spans="1:28" ht="15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  <c r="AA390" s="153"/>
      <c r="AB390" s="153"/>
    </row>
    <row r="391" spans="1:28" ht="15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  <c r="AA391" s="153"/>
      <c r="AB391" s="153"/>
    </row>
    <row r="392" spans="1:28" ht="15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  <c r="AB392" s="153"/>
    </row>
    <row r="393" spans="1:28" ht="15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  <c r="AA393" s="153"/>
      <c r="AB393" s="153"/>
    </row>
    <row r="394" spans="1:28" ht="15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  <c r="AA394" s="153"/>
      <c r="AB394" s="153"/>
    </row>
    <row r="395" spans="1:28" ht="15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  <c r="AA395" s="153"/>
      <c r="AB395" s="153"/>
    </row>
    <row r="396" spans="1:28" ht="15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  <c r="AA396" s="153"/>
      <c r="AB396" s="153"/>
    </row>
    <row r="397" spans="1:28" ht="15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  <c r="AA397" s="153"/>
      <c r="AB397" s="153"/>
    </row>
    <row r="398" spans="1:28" ht="15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  <c r="V398" s="153"/>
      <c r="W398" s="153"/>
      <c r="X398" s="153"/>
      <c r="Y398" s="153"/>
      <c r="Z398" s="153"/>
      <c r="AA398" s="153"/>
      <c r="AB398" s="153"/>
    </row>
    <row r="399" spans="1:28" ht="15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3"/>
      <c r="AB399" s="153"/>
    </row>
    <row r="400" spans="1:28" ht="15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3"/>
      <c r="X400" s="153"/>
      <c r="Y400" s="153"/>
      <c r="Z400" s="153"/>
      <c r="AA400" s="153"/>
      <c r="AB400" s="153"/>
    </row>
    <row r="401" spans="1:28" ht="15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  <c r="AA401" s="153"/>
      <c r="AB401" s="153"/>
    </row>
    <row r="402" spans="1:28" ht="15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  <c r="AA402" s="153"/>
      <c r="AB402" s="153"/>
    </row>
    <row r="403" spans="1:28" ht="15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53"/>
      <c r="X403" s="153"/>
      <c r="Y403" s="153"/>
      <c r="Z403" s="153"/>
      <c r="AA403" s="153"/>
      <c r="AB403" s="153"/>
    </row>
    <row r="404" spans="1:28" ht="15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  <c r="V404" s="153"/>
      <c r="W404" s="153"/>
      <c r="X404" s="153"/>
      <c r="Y404" s="153"/>
      <c r="Z404" s="153"/>
      <c r="AA404" s="153"/>
      <c r="AB404" s="153"/>
    </row>
    <row r="405" spans="1:28" ht="15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153"/>
      <c r="V405" s="153"/>
      <c r="W405" s="153"/>
      <c r="X405" s="153"/>
      <c r="Y405" s="153"/>
      <c r="Z405" s="153"/>
      <c r="AA405" s="153"/>
      <c r="AB405" s="153"/>
    </row>
    <row r="406" spans="1:28" ht="15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  <c r="X406" s="153"/>
      <c r="Y406" s="153"/>
      <c r="Z406" s="153"/>
      <c r="AA406" s="153"/>
      <c r="AB406" s="153"/>
    </row>
    <row r="407" spans="1:28" ht="15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  <c r="V407" s="153"/>
      <c r="W407" s="153"/>
      <c r="X407" s="153"/>
      <c r="Y407" s="153"/>
      <c r="Z407" s="153"/>
      <c r="AA407" s="153"/>
      <c r="AB407" s="153"/>
    </row>
    <row r="408" spans="1:28" ht="15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53"/>
      <c r="R408" s="153"/>
      <c r="S408" s="153"/>
      <c r="T408" s="153"/>
      <c r="U408" s="153"/>
      <c r="V408" s="153"/>
      <c r="W408" s="153"/>
      <c r="X408" s="153"/>
      <c r="Y408" s="153"/>
      <c r="Z408" s="153"/>
      <c r="AA408" s="153"/>
      <c r="AB408" s="153"/>
    </row>
    <row r="409" spans="1:28" ht="15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53"/>
      <c r="R409" s="153"/>
      <c r="S409" s="153"/>
      <c r="T409" s="153"/>
      <c r="U409" s="153"/>
      <c r="V409" s="153"/>
      <c r="W409" s="153"/>
      <c r="X409" s="153"/>
      <c r="Y409" s="153"/>
      <c r="Z409" s="153"/>
      <c r="AA409" s="153"/>
      <c r="AB409" s="153"/>
    </row>
    <row r="410" spans="1:28" ht="15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53"/>
      <c r="R410" s="153"/>
      <c r="S410" s="153"/>
      <c r="T410" s="153"/>
      <c r="U410" s="153"/>
      <c r="V410" s="153"/>
      <c r="W410" s="153"/>
      <c r="X410" s="153"/>
      <c r="Y410" s="153"/>
      <c r="Z410" s="153"/>
      <c r="AA410" s="153"/>
      <c r="AB410" s="153"/>
    </row>
    <row r="411" spans="1:28" ht="15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53"/>
      <c r="R411" s="153"/>
      <c r="S411" s="153"/>
      <c r="T411" s="153"/>
      <c r="U411" s="153"/>
      <c r="V411" s="153"/>
      <c r="W411" s="153"/>
      <c r="X411" s="153"/>
      <c r="Y411" s="153"/>
      <c r="Z411" s="153"/>
      <c r="AA411" s="153"/>
      <c r="AB411" s="153"/>
    </row>
    <row r="412" spans="1:28" ht="15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  <c r="AB412" s="153"/>
    </row>
    <row r="413" spans="1:28" ht="15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3"/>
      <c r="R413" s="153"/>
      <c r="S413" s="153"/>
      <c r="T413" s="153"/>
      <c r="U413" s="153"/>
      <c r="V413" s="153"/>
      <c r="W413" s="153"/>
      <c r="X413" s="153"/>
      <c r="Y413" s="153"/>
      <c r="Z413" s="153"/>
      <c r="AA413" s="153"/>
      <c r="AB413" s="153"/>
    </row>
    <row r="414" spans="1:28" ht="15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153"/>
      <c r="V414" s="153"/>
      <c r="W414" s="153"/>
      <c r="X414" s="153"/>
      <c r="Y414" s="153"/>
      <c r="Z414" s="153"/>
      <c r="AA414" s="153"/>
      <c r="AB414" s="153"/>
    </row>
    <row r="415" spans="1:28" ht="15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3"/>
      <c r="Q415" s="153"/>
      <c r="R415" s="153"/>
      <c r="S415" s="153"/>
      <c r="T415" s="153"/>
      <c r="U415" s="153"/>
      <c r="V415" s="153"/>
      <c r="W415" s="153"/>
      <c r="X415" s="153"/>
      <c r="Y415" s="153"/>
      <c r="Z415" s="153"/>
      <c r="AA415" s="153"/>
      <c r="AB415" s="153"/>
    </row>
    <row r="416" spans="1:28" ht="15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3"/>
      <c r="Q416" s="153"/>
      <c r="R416" s="153"/>
      <c r="S416" s="153"/>
      <c r="T416" s="153"/>
      <c r="U416" s="153"/>
      <c r="V416" s="153"/>
      <c r="W416" s="153"/>
      <c r="X416" s="153"/>
      <c r="Y416" s="153"/>
      <c r="Z416" s="153"/>
      <c r="AA416" s="153"/>
      <c r="AB416" s="153"/>
    </row>
    <row r="417" spans="1:28" ht="15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3"/>
      <c r="Q417" s="153"/>
      <c r="R417" s="153"/>
      <c r="S417" s="153"/>
      <c r="T417" s="153"/>
      <c r="U417" s="153"/>
      <c r="V417" s="153"/>
      <c r="W417" s="153"/>
      <c r="X417" s="153"/>
      <c r="Y417" s="153"/>
      <c r="Z417" s="153"/>
      <c r="AA417" s="153"/>
      <c r="AB417" s="153"/>
    </row>
    <row r="418" spans="1:28" ht="15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/>
      <c r="V418" s="153"/>
      <c r="W418" s="153"/>
      <c r="X418" s="153"/>
      <c r="Y418" s="153"/>
      <c r="Z418" s="153"/>
      <c r="AA418" s="153"/>
      <c r="AB418" s="153"/>
    </row>
    <row r="419" spans="1:28" ht="15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  <c r="L419" s="153"/>
      <c r="M419" s="153"/>
      <c r="N419" s="153"/>
      <c r="O419" s="153"/>
      <c r="P419" s="153"/>
      <c r="Q419" s="153"/>
      <c r="R419" s="153"/>
      <c r="S419" s="153"/>
      <c r="T419" s="153"/>
      <c r="U419" s="153"/>
      <c r="V419" s="153"/>
      <c r="W419" s="153"/>
      <c r="X419" s="153"/>
      <c r="Y419" s="153"/>
      <c r="Z419" s="153"/>
      <c r="AA419" s="153"/>
      <c r="AB419" s="153"/>
    </row>
    <row r="420" spans="1:28" ht="15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/>
      <c r="V420" s="153"/>
      <c r="W420" s="153"/>
      <c r="X420" s="153"/>
      <c r="Y420" s="153"/>
      <c r="Z420" s="153"/>
      <c r="AA420" s="153"/>
      <c r="AB420" s="153"/>
    </row>
    <row r="421" spans="1:28" ht="15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3"/>
      <c r="Q421" s="153"/>
      <c r="R421" s="153"/>
      <c r="S421" s="153"/>
      <c r="T421" s="153"/>
      <c r="U421" s="153"/>
      <c r="V421" s="153"/>
      <c r="W421" s="153"/>
      <c r="X421" s="153"/>
      <c r="Y421" s="153"/>
      <c r="Z421" s="153"/>
      <c r="AA421" s="153"/>
      <c r="AB421" s="153"/>
    </row>
    <row r="422" spans="1:28" ht="15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  <c r="AA422" s="153"/>
      <c r="AB422" s="153"/>
    </row>
    <row r="423" spans="1:28" ht="15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153"/>
      <c r="V423" s="153"/>
      <c r="W423" s="153"/>
      <c r="X423" s="153"/>
      <c r="Y423" s="153"/>
      <c r="Z423" s="153"/>
      <c r="AA423" s="153"/>
      <c r="AB423" s="153"/>
    </row>
    <row r="424" spans="1:28" ht="15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/>
      <c r="V424" s="153"/>
      <c r="W424" s="153"/>
      <c r="X424" s="153"/>
      <c r="Y424" s="153"/>
      <c r="Z424" s="153"/>
      <c r="AA424" s="153"/>
      <c r="AB424" s="153"/>
    </row>
    <row r="425" spans="1:28" ht="15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153"/>
      <c r="V425" s="153"/>
      <c r="W425" s="153"/>
      <c r="X425" s="153"/>
      <c r="Y425" s="153"/>
      <c r="Z425" s="153"/>
      <c r="AA425" s="153"/>
      <c r="AB425" s="153"/>
    </row>
    <row r="426" spans="1:28" ht="15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  <c r="AB426" s="153"/>
    </row>
    <row r="427" spans="1:28" ht="15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153"/>
      <c r="V427" s="153"/>
      <c r="W427" s="153"/>
      <c r="X427" s="153"/>
      <c r="Y427" s="153"/>
      <c r="Z427" s="153"/>
      <c r="AA427" s="153"/>
      <c r="AB427" s="153"/>
    </row>
    <row r="428" spans="1:28" ht="15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  <c r="AB428" s="153"/>
    </row>
    <row r="429" spans="1:28" ht="15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  <c r="AA429" s="153"/>
      <c r="AB429" s="153"/>
    </row>
    <row r="430" spans="1:28" ht="15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/>
      <c r="V430" s="153"/>
      <c r="W430" s="153"/>
      <c r="X430" s="153"/>
      <c r="Y430" s="153"/>
      <c r="Z430" s="153"/>
      <c r="AA430" s="153"/>
      <c r="AB430" s="153"/>
    </row>
    <row r="431" spans="1:28" ht="15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  <c r="L431" s="153"/>
      <c r="M431" s="153"/>
      <c r="N431" s="153"/>
      <c r="O431" s="153"/>
      <c r="P431" s="153"/>
      <c r="Q431" s="153"/>
      <c r="R431" s="153"/>
      <c r="S431" s="153"/>
      <c r="T431" s="153"/>
      <c r="U431" s="153"/>
      <c r="V431" s="153"/>
      <c r="W431" s="153"/>
      <c r="X431" s="153"/>
      <c r="Y431" s="153"/>
      <c r="Z431" s="153"/>
      <c r="AA431" s="153"/>
      <c r="AB431" s="153"/>
    </row>
    <row r="432" spans="1:28" ht="15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  <c r="AA432" s="153"/>
      <c r="AB432" s="153"/>
    </row>
    <row r="433" spans="1:28" ht="15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  <c r="AA433" s="153"/>
      <c r="AB433" s="153"/>
    </row>
    <row r="434" spans="1:28" ht="15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/>
      <c r="V434" s="153"/>
      <c r="W434" s="153"/>
      <c r="X434" s="153"/>
      <c r="Y434" s="153"/>
      <c r="Z434" s="153"/>
      <c r="AA434" s="153"/>
      <c r="AB434" s="153"/>
    </row>
    <row r="435" spans="1:28" ht="15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  <c r="S435" s="153"/>
      <c r="T435" s="153"/>
      <c r="U435" s="153"/>
      <c r="V435" s="153"/>
      <c r="W435" s="153"/>
      <c r="X435" s="153"/>
      <c r="Y435" s="153"/>
      <c r="Z435" s="153"/>
      <c r="AA435" s="153"/>
      <c r="AB435" s="153"/>
    </row>
    <row r="436" spans="1:28" ht="15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  <c r="Y436" s="153"/>
      <c r="Z436" s="153"/>
      <c r="AA436" s="153"/>
      <c r="AB436" s="153"/>
    </row>
    <row r="437" spans="1:28" ht="15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3"/>
      <c r="Q437" s="153"/>
      <c r="R437" s="153"/>
      <c r="S437" s="153"/>
      <c r="T437" s="153"/>
      <c r="U437" s="153"/>
      <c r="V437" s="153"/>
      <c r="W437" s="153"/>
      <c r="X437" s="153"/>
      <c r="Y437" s="153"/>
      <c r="Z437" s="153"/>
      <c r="AA437" s="153"/>
      <c r="AB437" s="153"/>
    </row>
    <row r="438" spans="1:28" ht="15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  <c r="Y438" s="153"/>
      <c r="Z438" s="153"/>
      <c r="AA438" s="153"/>
      <c r="AB438" s="153"/>
    </row>
    <row r="439" spans="1:28" ht="15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  <c r="AB439" s="153"/>
    </row>
    <row r="440" spans="1:28" ht="15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  <c r="AB440" s="153"/>
    </row>
    <row r="441" spans="1:28" ht="15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  <c r="AB441" s="153"/>
    </row>
    <row r="442" spans="1:28" ht="15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/>
      <c r="V442" s="153"/>
      <c r="W442" s="153"/>
      <c r="X442" s="153"/>
      <c r="Y442" s="153"/>
      <c r="Z442" s="153"/>
      <c r="AA442" s="153"/>
      <c r="AB442" s="153"/>
    </row>
    <row r="443" spans="1:28" ht="15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  <c r="M443" s="153"/>
      <c r="N443" s="153"/>
      <c r="O443" s="153"/>
      <c r="P443" s="153"/>
      <c r="Q443" s="153"/>
      <c r="R443" s="153"/>
      <c r="S443" s="153"/>
      <c r="T443" s="153"/>
      <c r="U443" s="153"/>
      <c r="V443" s="153"/>
      <c r="W443" s="153"/>
      <c r="X443" s="153"/>
      <c r="Y443" s="153"/>
      <c r="Z443" s="153"/>
      <c r="AA443" s="153"/>
      <c r="AB443" s="153"/>
    </row>
    <row r="444" spans="1:28" ht="15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/>
      <c r="V444" s="153"/>
      <c r="W444" s="153"/>
      <c r="X444" s="153"/>
      <c r="Y444" s="153"/>
      <c r="Z444" s="153"/>
      <c r="AA444" s="153"/>
      <c r="AB444" s="153"/>
    </row>
    <row r="445" spans="1:28" ht="15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53"/>
      <c r="R445" s="153"/>
      <c r="S445" s="153"/>
      <c r="T445" s="153"/>
      <c r="U445" s="153"/>
      <c r="V445" s="153"/>
      <c r="W445" s="153"/>
      <c r="X445" s="153"/>
      <c r="Y445" s="153"/>
      <c r="Z445" s="153"/>
      <c r="AA445" s="153"/>
      <c r="AB445" s="153"/>
    </row>
    <row r="446" spans="1:28" ht="15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/>
      <c r="V446" s="153"/>
      <c r="W446" s="153"/>
      <c r="X446" s="153"/>
      <c r="Y446" s="153"/>
      <c r="Z446" s="153"/>
      <c r="AA446" s="153"/>
      <c r="AB446" s="153"/>
    </row>
    <row r="447" spans="1:28" ht="15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153"/>
      <c r="V447" s="153"/>
      <c r="W447" s="153"/>
      <c r="X447" s="153"/>
      <c r="Y447" s="153"/>
      <c r="Z447" s="153"/>
      <c r="AA447" s="153"/>
      <c r="AB447" s="153"/>
    </row>
    <row r="448" spans="1:28" ht="15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/>
      <c r="V448" s="153"/>
      <c r="W448" s="153"/>
      <c r="X448" s="153"/>
      <c r="Y448" s="153"/>
      <c r="Z448" s="153"/>
      <c r="AA448" s="153"/>
      <c r="AB448" s="153"/>
    </row>
    <row r="449" spans="1:28" ht="15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153"/>
      <c r="V449" s="153"/>
      <c r="W449" s="153"/>
      <c r="X449" s="153"/>
      <c r="Y449" s="153"/>
      <c r="Z449" s="153"/>
      <c r="AA449" s="153"/>
      <c r="AB449" s="153"/>
    </row>
    <row r="450" spans="1:28" ht="15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/>
      <c r="V450" s="153"/>
      <c r="W450" s="153"/>
      <c r="X450" s="153"/>
      <c r="Y450" s="153"/>
      <c r="Z450" s="153"/>
      <c r="AA450" s="153"/>
      <c r="AB450" s="153"/>
    </row>
    <row r="451" spans="1:28" ht="15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3"/>
      <c r="Q451" s="153"/>
      <c r="R451" s="153"/>
      <c r="S451" s="153"/>
      <c r="T451" s="153"/>
      <c r="U451" s="153"/>
      <c r="V451" s="153"/>
      <c r="W451" s="153"/>
      <c r="X451" s="153"/>
      <c r="Y451" s="153"/>
      <c r="Z451" s="153"/>
      <c r="AA451" s="153"/>
      <c r="AB451" s="153"/>
    </row>
    <row r="452" spans="1:28" ht="15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/>
      <c r="V452" s="153"/>
      <c r="W452" s="153"/>
      <c r="X452" s="153"/>
      <c r="Y452" s="153"/>
      <c r="Z452" s="153"/>
      <c r="AA452" s="153"/>
      <c r="AB452" s="153"/>
    </row>
    <row r="453" spans="1:28" ht="15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W453" s="153"/>
      <c r="X453" s="153"/>
      <c r="Y453" s="153"/>
      <c r="Z453" s="153"/>
      <c r="AA453" s="153"/>
      <c r="AB453" s="153"/>
    </row>
    <row r="454" spans="1:28" ht="15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/>
      <c r="V454" s="153"/>
      <c r="W454" s="153"/>
      <c r="X454" s="153"/>
      <c r="Y454" s="153"/>
      <c r="Z454" s="153"/>
      <c r="AA454" s="153"/>
      <c r="AB454" s="153"/>
    </row>
    <row r="455" spans="1:28" ht="15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T455" s="153"/>
      <c r="U455" s="153"/>
      <c r="V455" s="153"/>
      <c r="W455" s="153"/>
      <c r="X455" s="153"/>
      <c r="Y455" s="153"/>
      <c r="Z455" s="153"/>
      <c r="AA455" s="153"/>
      <c r="AB455" s="153"/>
    </row>
    <row r="456" spans="1:28" ht="15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/>
      <c r="V456" s="153"/>
      <c r="W456" s="153"/>
      <c r="X456" s="153"/>
      <c r="Y456" s="153"/>
      <c r="Z456" s="153"/>
      <c r="AA456" s="153"/>
      <c r="AB456" s="153"/>
    </row>
    <row r="457" spans="1:28" ht="15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  <c r="V457" s="153"/>
      <c r="W457" s="153"/>
      <c r="X457" s="153"/>
      <c r="Y457" s="153"/>
      <c r="Z457" s="153"/>
      <c r="AA457" s="153"/>
      <c r="AB457" s="153"/>
    </row>
    <row r="458" spans="1:28" ht="15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  <c r="V458" s="153"/>
      <c r="W458" s="153"/>
      <c r="X458" s="153"/>
      <c r="Y458" s="153"/>
      <c r="Z458" s="153"/>
      <c r="AA458" s="153"/>
      <c r="AB458" s="153"/>
    </row>
    <row r="459" spans="1:28" ht="15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3"/>
      <c r="Q459" s="153"/>
      <c r="R459" s="153"/>
      <c r="S459" s="153"/>
      <c r="T459" s="153"/>
      <c r="U459" s="153"/>
      <c r="V459" s="153"/>
      <c r="W459" s="153"/>
      <c r="X459" s="153"/>
      <c r="Y459" s="153"/>
      <c r="Z459" s="153"/>
      <c r="AA459" s="153"/>
      <c r="AB459" s="153"/>
    </row>
    <row r="460" spans="1:28" ht="15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/>
      <c r="V460" s="153"/>
      <c r="W460" s="153"/>
      <c r="X460" s="153"/>
      <c r="Y460" s="153"/>
      <c r="Z460" s="153"/>
      <c r="AA460" s="153"/>
      <c r="AB460" s="153"/>
    </row>
    <row r="461" spans="1:28" ht="15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  <c r="M461" s="153"/>
      <c r="N461" s="153"/>
      <c r="O461" s="153"/>
      <c r="P461" s="153"/>
      <c r="Q461" s="153"/>
      <c r="R461" s="153"/>
      <c r="S461" s="153"/>
      <c r="T461" s="153"/>
      <c r="U461" s="153"/>
      <c r="V461" s="153"/>
      <c r="W461" s="153"/>
      <c r="X461" s="153"/>
      <c r="Y461" s="153"/>
      <c r="Z461" s="153"/>
      <c r="AA461" s="153"/>
      <c r="AB461" s="153"/>
    </row>
    <row r="462" spans="1:28" ht="15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  <c r="AB462" s="153"/>
    </row>
    <row r="463" spans="1:28" ht="15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  <c r="AB463" s="153"/>
    </row>
    <row r="464" spans="1:28" ht="15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  <c r="AB464" s="153"/>
    </row>
    <row r="465" spans="1:28" ht="15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3"/>
      <c r="Q465" s="153"/>
      <c r="R465" s="153"/>
      <c r="S465" s="153"/>
      <c r="T465" s="153"/>
      <c r="U465" s="153"/>
      <c r="V465" s="153"/>
      <c r="W465" s="153"/>
      <c r="X465" s="153"/>
      <c r="Y465" s="153"/>
      <c r="Z465" s="153"/>
      <c r="AA465" s="153"/>
      <c r="AB465" s="153"/>
    </row>
    <row r="466" spans="1:28" ht="15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/>
      <c r="V466" s="153"/>
      <c r="W466" s="153"/>
      <c r="X466" s="153"/>
      <c r="Y466" s="153"/>
      <c r="Z466" s="153"/>
      <c r="AA466" s="153"/>
      <c r="AB466" s="153"/>
    </row>
    <row r="467" spans="1:28" ht="15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3"/>
      <c r="Q467" s="153"/>
      <c r="R467" s="153"/>
      <c r="S467" s="153"/>
      <c r="T467" s="153"/>
      <c r="U467" s="153"/>
      <c r="V467" s="153"/>
      <c r="W467" s="153"/>
      <c r="X467" s="153"/>
      <c r="Y467" s="153"/>
      <c r="Z467" s="153"/>
      <c r="AA467" s="153"/>
      <c r="AB467" s="153"/>
    </row>
    <row r="468" spans="1:28" ht="15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/>
      <c r="V468" s="153"/>
      <c r="W468" s="153"/>
      <c r="X468" s="153"/>
      <c r="Y468" s="153"/>
      <c r="Z468" s="153"/>
      <c r="AA468" s="153"/>
      <c r="AB468" s="153"/>
    </row>
    <row r="469" spans="1:28" ht="15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53"/>
      <c r="P469" s="153"/>
      <c r="Q469" s="153"/>
      <c r="R469" s="153"/>
      <c r="S469" s="153"/>
      <c r="T469" s="153"/>
      <c r="U469" s="153"/>
      <c r="V469" s="153"/>
      <c r="W469" s="153"/>
      <c r="X469" s="153"/>
      <c r="Y469" s="153"/>
      <c r="Z469" s="153"/>
      <c r="AA469" s="153"/>
      <c r="AB469" s="153"/>
    </row>
    <row r="470" spans="1:28" ht="15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</row>
    <row r="471" spans="1:28" ht="15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  <c r="AB471" s="153"/>
    </row>
    <row r="472" spans="1:28" ht="15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/>
      <c r="V472" s="153"/>
      <c r="W472" s="153"/>
      <c r="X472" s="153"/>
      <c r="Y472" s="153"/>
      <c r="Z472" s="153"/>
      <c r="AA472" s="153"/>
      <c r="AB472" s="153"/>
    </row>
    <row r="473" spans="1:28" ht="15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3"/>
      <c r="P473" s="153"/>
      <c r="Q473" s="153"/>
      <c r="R473" s="153"/>
      <c r="S473" s="153"/>
      <c r="T473" s="153"/>
      <c r="U473" s="153"/>
      <c r="V473" s="153"/>
      <c r="W473" s="153"/>
      <c r="X473" s="153"/>
      <c r="Y473" s="153"/>
      <c r="Z473" s="153"/>
      <c r="AA473" s="153"/>
      <c r="AB473" s="153"/>
    </row>
    <row r="474" spans="1:28" ht="15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/>
      <c r="V474" s="153"/>
      <c r="W474" s="153"/>
      <c r="X474" s="153"/>
      <c r="Y474" s="153"/>
      <c r="Z474" s="153"/>
      <c r="AA474" s="153"/>
      <c r="AB474" s="153"/>
    </row>
    <row r="475" spans="1:28" ht="15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3"/>
      <c r="AB475" s="153"/>
    </row>
    <row r="476" spans="1:28" ht="15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  <c r="V476" s="153"/>
      <c r="W476" s="153"/>
      <c r="X476" s="153"/>
      <c r="Y476" s="153"/>
      <c r="Z476" s="153"/>
      <c r="AA476" s="153"/>
      <c r="AB476" s="153"/>
    </row>
    <row r="477" spans="1:28" ht="15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3"/>
      <c r="P477" s="153"/>
      <c r="Q477" s="153"/>
      <c r="R477" s="153"/>
      <c r="S477" s="153"/>
      <c r="T477" s="153"/>
      <c r="U477" s="153"/>
      <c r="V477" s="153"/>
      <c r="W477" s="153"/>
      <c r="X477" s="153"/>
      <c r="Y477" s="153"/>
      <c r="Z477" s="153"/>
      <c r="AA477" s="153"/>
      <c r="AB477" s="153"/>
    </row>
    <row r="478" spans="1:28" ht="15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/>
      <c r="V478" s="153"/>
      <c r="W478" s="153"/>
      <c r="X478" s="153"/>
      <c r="Y478" s="153"/>
      <c r="Z478" s="153"/>
      <c r="AA478" s="153"/>
      <c r="AB478" s="153"/>
    </row>
    <row r="479" spans="1:28" ht="15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  <c r="M479" s="153"/>
      <c r="N479" s="153"/>
      <c r="O479" s="153"/>
      <c r="P479" s="153"/>
      <c r="Q479" s="153"/>
      <c r="R479" s="153"/>
      <c r="S479" s="153"/>
      <c r="T479" s="153"/>
      <c r="U479" s="153"/>
      <c r="V479" s="153"/>
      <c r="W479" s="153"/>
      <c r="X479" s="153"/>
      <c r="Y479" s="153"/>
      <c r="Z479" s="153"/>
      <c r="AA479" s="153"/>
      <c r="AB479" s="153"/>
    </row>
    <row r="480" spans="1:28" ht="15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/>
      <c r="V480" s="153"/>
      <c r="W480" s="153"/>
      <c r="X480" s="153"/>
      <c r="Y480" s="153"/>
      <c r="Z480" s="153"/>
      <c r="AA480" s="153"/>
      <c r="AB480" s="153"/>
    </row>
    <row r="481" spans="1:28" ht="15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  <c r="L481" s="153"/>
      <c r="M481" s="153"/>
      <c r="N481" s="153"/>
      <c r="O481" s="153"/>
      <c r="P481" s="153"/>
      <c r="Q481" s="153"/>
      <c r="R481" s="153"/>
      <c r="S481" s="153"/>
      <c r="T481" s="153"/>
      <c r="U481" s="153"/>
      <c r="V481" s="153"/>
      <c r="W481" s="153"/>
      <c r="X481" s="153"/>
      <c r="Y481" s="153"/>
      <c r="Z481" s="153"/>
      <c r="AA481" s="153"/>
      <c r="AB481" s="153"/>
    </row>
    <row r="482" spans="1:28" ht="15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/>
      <c r="V482" s="153"/>
      <c r="W482" s="153"/>
      <c r="X482" s="153"/>
      <c r="Y482" s="153"/>
      <c r="Z482" s="153"/>
      <c r="AA482" s="153"/>
      <c r="AB482" s="153"/>
    </row>
    <row r="483" spans="1:28" ht="15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53"/>
      <c r="Q483" s="153"/>
      <c r="R483" s="153"/>
      <c r="S483" s="153"/>
      <c r="T483" s="153"/>
      <c r="U483" s="153"/>
      <c r="V483" s="153"/>
      <c r="W483" s="153"/>
      <c r="X483" s="153"/>
      <c r="Y483" s="153"/>
      <c r="Z483" s="153"/>
      <c r="AA483" s="153"/>
      <c r="AB483" s="153"/>
    </row>
    <row r="484" spans="1:28" ht="15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/>
      <c r="V484" s="153"/>
      <c r="W484" s="153"/>
      <c r="X484" s="153"/>
      <c r="Y484" s="153"/>
      <c r="Z484" s="153"/>
      <c r="AA484" s="153"/>
      <c r="AB484" s="153"/>
    </row>
    <row r="485" spans="1:28" ht="15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  <c r="V485" s="153"/>
      <c r="W485" s="153"/>
      <c r="X485" s="153"/>
      <c r="Y485" s="153"/>
      <c r="Z485" s="153"/>
      <c r="AA485" s="153"/>
      <c r="AB485" s="153"/>
    </row>
    <row r="486" spans="1:28" ht="15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/>
      <c r="V486" s="153"/>
      <c r="W486" s="153"/>
      <c r="X486" s="153"/>
      <c r="Y486" s="153"/>
      <c r="Z486" s="153"/>
      <c r="AA486" s="153"/>
      <c r="AB486" s="153"/>
    </row>
    <row r="487" spans="1:28" ht="15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3"/>
      <c r="Q487" s="153"/>
      <c r="R487" s="153"/>
      <c r="S487" s="153"/>
      <c r="T487" s="153"/>
      <c r="U487" s="153"/>
      <c r="V487" s="153"/>
      <c r="W487" s="153"/>
      <c r="X487" s="153"/>
      <c r="Y487" s="153"/>
      <c r="Z487" s="153"/>
      <c r="AA487" s="153"/>
      <c r="AB487" s="153"/>
    </row>
    <row r="488" spans="1:28" ht="15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/>
      <c r="V488" s="153"/>
      <c r="W488" s="153"/>
      <c r="X488" s="153"/>
      <c r="Y488" s="153"/>
      <c r="Z488" s="153"/>
      <c r="AA488" s="153"/>
      <c r="AB488" s="153"/>
    </row>
    <row r="489" spans="1:28" ht="15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  <c r="S489" s="153"/>
      <c r="T489" s="153"/>
      <c r="U489" s="153"/>
      <c r="V489" s="153"/>
      <c r="W489" s="153"/>
      <c r="X489" s="153"/>
      <c r="Y489" s="153"/>
      <c r="Z489" s="153"/>
      <c r="AA489" s="153"/>
      <c r="AB489" s="153"/>
    </row>
    <row r="490" spans="1:28" ht="15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/>
      <c r="V490" s="153"/>
      <c r="W490" s="153"/>
      <c r="X490" s="153"/>
      <c r="Y490" s="153"/>
      <c r="Z490" s="153"/>
      <c r="AA490" s="153"/>
      <c r="AB490" s="153"/>
    </row>
    <row r="491" spans="1:28" ht="15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  <c r="L491" s="153"/>
      <c r="M491" s="153"/>
      <c r="N491" s="153"/>
      <c r="O491" s="153"/>
      <c r="P491" s="153"/>
      <c r="Q491" s="153"/>
      <c r="R491" s="153"/>
      <c r="S491" s="153"/>
      <c r="T491" s="153"/>
      <c r="U491" s="153"/>
      <c r="V491" s="153"/>
      <c r="W491" s="153"/>
      <c r="X491" s="153"/>
      <c r="Y491" s="153"/>
      <c r="Z491" s="153"/>
      <c r="AA491" s="153"/>
      <c r="AB491" s="153"/>
    </row>
    <row r="492" spans="1:28" ht="15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/>
      <c r="V492" s="153"/>
      <c r="W492" s="153"/>
      <c r="X492" s="153"/>
      <c r="Y492" s="153"/>
      <c r="Z492" s="153"/>
      <c r="AA492" s="153"/>
      <c r="AB492" s="153"/>
    </row>
    <row r="493" spans="1:28" ht="15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  <c r="L493" s="153"/>
      <c r="M493" s="153"/>
      <c r="N493" s="153"/>
      <c r="O493" s="153"/>
      <c r="P493" s="153"/>
      <c r="Q493" s="153"/>
      <c r="R493" s="153"/>
      <c r="S493" s="153"/>
      <c r="T493" s="153"/>
      <c r="U493" s="153"/>
      <c r="V493" s="153"/>
      <c r="W493" s="153"/>
      <c r="X493" s="153"/>
      <c r="Y493" s="153"/>
      <c r="Z493" s="153"/>
      <c r="AA493" s="153"/>
      <c r="AB493" s="153"/>
    </row>
    <row r="494" spans="1:28" ht="15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/>
      <c r="V494" s="153"/>
      <c r="W494" s="153"/>
      <c r="X494" s="153"/>
      <c r="Y494" s="153"/>
      <c r="Z494" s="153"/>
      <c r="AA494" s="153"/>
      <c r="AB494" s="153"/>
    </row>
    <row r="495" spans="1:28" ht="15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3"/>
      <c r="Q495" s="153"/>
      <c r="R495" s="153"/>
      <c r="S495" s="153"/>
      <c r="T495" s="153"/>
      <c r="U495" s="153"/>
      <c r="V495" s="153"/>
      <c r="W495" s="153"/>
      <c r="X495" s="153"/>
      <c r="Y495" s="153"/>
      <c r="Z495" s="153"/>
      <c r="AA495" s="153"/>
      <c r="AB495" s="153"/>
    </row>
    <row r="496" spans="1:28" ht="15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/>
      <c r="V496" s="153"/>
      <c r="W496" s="153"/>
      <c r="X496" s="153"/>
      <c r="Y496" s="153"/>
      <c r="Z496" s="153"/>
      <c r="AA496" s="153"/>
      <c r="AB496" s="153"/>
    </row>
    <row r="497" spans="1:28" ht="15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3"/>
      <c r="P497" s="153"/>
      <c r="Q497" s="153"/>
      <c r="R497" s="153"/>
      <c r="S497" s="153"/>
      <c r="T497" s="153"/>
      <c r="U497" s="153"/>
      <c r="V497" s="153"/>
      <c r="W497" s="153"/>
      <c r="X497" s="153"/>
      <c r="Y497" s="153"/>
      <c r="Z497" s="153"/>
      <c r="AA497" s="153"/>
      <c r="AB497" s="153"/>
    </row>
    <row r="498" spans="1:28" ht="15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3"/>
    </row>
    <row r="499" spans="1:28" ht="15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3"/>
      <c r="P499" s="153"/>
      <c r="Q499" s="153"/>
      <c r="R499" s="153"/>
      <c r="S499" s="153"/>
      <c r="T499" s="153"/>
      <c r="U499" s="153"/>
      <c r="V499" s="153"/>
      <c r="W499" s="153"/>
      <c r="X499" s="153"/>
      <c r="Y499" s="153"/>
      <c r="Z499" s="153"/>
      <c r="AA499" s="153"/>
      <c r="AB499" s="153"/>
    </row>
    <row r="500" spans="1:28" ht="15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/>
      <c r="V500" s="153"/>
      <c r="W500" s="153"/>
      <c r="X500" s="153"/>
      <c r="Y500" s="153"/>
      <c r="Z500" s="153"/>
      <c r="AA500" s="153"/>
      <c r="AB500" s="153"/>
    </row>
    <row r="501" spans="1:28" ht="15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3"/>
      <c r="Q501" s="153"/>
      <c r="R501" s="153"/>
      <c r="S501" s="153"/>
      <c r="T501" s="153"/>
      <c r="U501" s="153"/>
      <c r="V501" s="153"/>
      <c r="W501" s="153"/>
      <c r="X501" s="153"/>
      <c r="Y501" s="153"/>
      <c r="Z501" s="153"/>
      <c r="AA501" s="153"/>
      <c r="AB501" s="153"/>
    </row>
    <row r="502" spans="1:28" ht="15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/>
      <c r="V502" s="153"/>
      <c r="W502" s="153"/>
      <c r="X502" s="153"/>
      <c r="Y502" s="153"/>
      <c r="Z502" s="153"/>
      <c r="AA502" s="153"/>
      <c r="AB502" s="153"/>
    </row>
    <row r="503" spans="1:28" ht="15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3"/>
      <c r="P503" s="153"/>
      <c r="Q503" s="153"/>
      <c r="R503" s="153"/>
      <c r="S503" s="153"/>
      <c r="T503" s="153"/>
      <c r="U503" s="153"/>
      <c r="V503" s="153"/>
      <c r="W503" s="153"/>
      <c r="X503" s="153"/>
      <c r="Y503" s="153"/>
      <c r="Z503" s="153"/>
      <c r="AA503" s="153"/>
      <c r="AB503" s="153"/>
    </row>
    <row r="504" spans="1:28" ht="15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/>
      <c r="V504" s="153"/>
      <c r="W504" s="153"/>
      <c r="X504" s="153"/>
      <c r="Y504" s="153"/>
      <c r="Z504" s="153"/>
      <c r="AA504" s="153"/>
      <c r="AB504" s="153"/>
    </row>
    <row r="505" spans="1:28" ht="15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  <c r="L505" s="153"/>
      <c r="M505" s="153"/>
      <c r="N505" s="153"/>
      <c r="O505" s="153"/>
      <c r="P505" s="153"/>
      <c r="Q505" s="153"/>
      <c r="R505" s="153"/>
      <c r="S505" s="153"/>
      <c r="T505" s="153"/>
      <c r="U505" s="153"/>
      <c r="V505" s="153"/>
      <c r="W505" s="153"/>
      <c r="X505" s="153"/>
      <c r="Y505" s="153"/>
      <c r="Z505" s="153"/>
      <c r="AA505" s="153"/>
      <c r="AB505" s="153"/>
    </row>
    <row r="506" spans="1:28" ht="15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/>
      <c r="V506" s="153"/>
      <c r="W506" s="153"/>
      <c r="X506" s="153"/>
      <c r="Y506" s="153"/>
      <c r="Z506" s="153"/>
      <c r="AA506" s="153"/>
      <c r="AB506" s="153"/>
    </row>
    <row r="507" spans="1:28" ht="15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  <c r="M507" s="153"/>
      <c r="N507" s="153"/>
      <c r="O507" s="153"/>
      <c r="P507" s="153"/>
      <c r="Q507" s="153"/>
      <c r="R507" s="153"/>
      <c r="S507" s="153"/>
      <c r="T507" s="153"/>
      <c r="U507" s="153"/>
      <c r="V507" s="153"/>
      <c r="W507" s="153"/>
      <c r="X507" s="153"/>
      <c r="Y507" s="153"/>
      <c r="Z507" s="153"/>
      <c r="AA507" s="153"/>
      <c r="AB507" s="153"/>
    </row>
    <row r="508" spans="1:28" ht="15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/>
      <c r="V508" s="153"/>
      <c r="W508" s="153"/>
      <c r="X508" s="153"/>
      <c r="Y508" s="153"/>
      <c r="Z508" s="153"/>
      <c r="AA508" s="153"/>
      <c r="AB508" s="153"/>
    </row>
    <row r="509" spans="1:28" ht="15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3"/>
      <c r="P509" s="153"/>
      <c r="Q509" s="153"/>
      <c r="R509" s="153"/>
      <c r="S509" s="153"/>
      <c r="T509" s="153"/>
      <c r="U509" s="153"/>
      <c r="V509" s="153"/>
      <c r="W509" s="153"/>
      <c r="X509" s="153"/>
      <c r="Y509" s="153"/>
      <c r="Z509" s="153"/>
      <c r="AA509" s="153"/>
      <c r="AB509" s="153"/>
    </row>
    <row r="510" spans="1:28" ht="15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/>
      <c r="V510" s="153"/>
      <c r="W510" s="153"/>
      <c r="X510" s="153"/>
      <c r="Y510" s="153"/>
      <c r="Z510" s="153"/>
      <c r="AA510" s="153"/>
      <c r="AB510" s="153"/>
    </row>
    <row r="511" spans="1:28" ht="15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3"/>
      <c r="P511" s="153"/>
      <c r="Q511" s="153"/>
      <c r="R511" s="153"/>
      <c r="S511" s="153"/>
      <c r="T511" s="153"/>
      <c r="U511" s="153"/>
      <c r="V511" s="153"/>
      <c r="W511" s="153"/>
      <c r="X511" s="153"/>
      <c r="Y511" s="153"/>
      <c r="Z511" s="153"/>
      <c r="AA511" s="153"/>
      <c r="AB511" s="153"/>
    </row>
    <row r="512" spans="1:28" ht="15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/>
      <c r="V512" s="153"/>
      <c r="W512" s="153"/>
      <c r="X512" s="153"/>
      <c r="Y512" s="153"/>
      <c r="Z512" s="153"/>
      <c r="AA512" s="153"/>
      <c r="AB512" s="153"/>
    </row>
    <row r="513" spans="1:28" ht="15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3"/>
      <c r="P513" s="153"/>
      <c r="Q513" s="153"/>
      <c r="R513" s="153"/>
      <c r="S513" s="153"/>
      <c r="T513" s="153"/>
      <c r="U513" s="153"/>
      <c r="V513" s="153"/>
      <c r="W513" s="153"/>
      <c r="X513" s="153"/>
      <c r="Y513" s="153"/>
      <c r="Z513" s="153"/>
      <c r="AA513" s="153"/>
      <c r="AB513" s="153"/>
    </row>
    <row r="514" spans="1:28" ht="15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/>
      <c r="V514" s="153"/>
      <c r="W514" s="153"/>
      <c r="X514" s="153"/>
      <c r="Y514" s="153"/>
      <c r="Z514" s="153"/>
      <c r="AA514" s="153"/>
      <c r="AB514" s="153"/>
    </row>
    <row r="515" spans="1:28" ht="15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  <c r="L515" s="153"/>
      <c r="M515" s="153"/>
      <c r="N515" s="153"/>
      <c r="O515" s="153"/>
      <c r="P515" s="153"/>
      <c r="Q515" s="153"/>
      <c r="R515" s="153"/>
      <c r="S515" s="153"/>
      <c r="T515" s="153"/>
      <c r="U515" s="153"/>
      <c r="V515" s="153"/>
      <c r="W515" s="153"/>
      <c r="X515" s="153"/>
      <c r="Y515" s="153"/>
      <c r="Z515" s="153"/>
      <c r="AA515" s="153"/>
      <c r="AB515" s="153"/>
    </row>
    <row r="516" spans="1:28" ht="15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/>
      <c r="V516" s="153"/>
      <c r="W516" s="153"/>
      <c r="X516" s="153"/>
      <c r="Y516" s="153"/>
      <c r="Z516" s="153"/>
      <c r="AA516" s="153"/>
      <c r="AB516" s="153"/>
    </row>
    <row r="517" spans="1:28" ht="15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153"/>
      <c r="M517" s="153"/>
      <c r="N517" s="153"/>
      <c r="O517" s="153"/>
      <c r="P517" s="153"/>
      <c r="Q517" s="153"/>
      <c r="R517" s="153"/>
      <c r="S517" s="153"/>
      <c r="T517" s="153"/>
      <c r="U517" s="153"/>
      <c r="V517" s="153"/>
      <c r="W517" s="153"/>
      <c r="X517" s="153"/>
      <c r="Y517" s="153"/>
      <c r="Z517" s="153"/>
      <c r="AA517" s="153"/>
      <c r="AB517" s="153"/>
    </row>
    <row r="518" spans="1:28" ht="15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/>
      <c r="V518" s="153"/>
      <c r="W518" s="153"/>
      <c r="X518" s="153"/>
      <c r="Y518" s="153"/>
      <c r="Z518" s="153"/>
      <c r="AA518" s="153"/>
      <c r="AB518" s="153"/>
    </row>
    <row r="519" spans="1:28" ht="15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153"/>
      <c r="M519" s="153"/>
      <c r="N519" s="153"/>
      <c r="O519" s="153"/>
      <c r="P519" s="153"/>
      <c r="Q519" s="153"/>
      <c r="R519" s="153"/>
      <c r="S519" s="153"/>
      <c r="T519" s="153"/>
      <c r="U519" s="153"/>
      <c r="V519" s="153"/>
      <c r="W519" s="153"/>
      <c r="X519" s="153"/>
      <c r="Y519" s="153"/>
      <c r="Z519" s="153"/>
      <c r="AA519" s="153"/>
      <c r="AB519" s="153"/>
    </row>
    <row r="520" spans="1:28" ht="15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/>
      <c r="V520" s="153"/>
      <c r="W520" s="153"/>
      <c r="X520" s="153"/>
      <c r="Y520" s="153"/>
      <c r="Z520" s="153"/>
      <c r="AA520" s="153"/>
      <c r="AB520" s="153"/>
    </row>
    <row r="521" spans="1:28" ht="15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3"/>
      <c r="P521" s="153"/>
      <c r="Q521" s="153"/>
      <c r="R521" s="153"/>
      <c r="S521" s="153"/>
      <c r="T521" s="153"/>
      <c r="U521" s="153"/>
      <c r="V521" s="153"/>
      <c r="W521" s="153"/>
      <c r="X521" s="153"/>
      <c r="Y521" s="153"/>
      <c r="Z521" s="153"/>
      <c r="AA521" s="153"/>
      <c r="AB521" s="153"/>
    </row>
    <row r="522" spans="1:28" ht="15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/>
      <c r="V522" s="153"/>
      <c r="W522" s="153"/>
      <c r="X522" s="153"/>
      <c r="Y522" s="153"/>
      <c r="Z522" s="153"/>
      <c r="AA522" s="153"/>
      <c r="AB522" s="153"/>
    </row>
    <row r="523" spans="1:28" ht="15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3"/>
      <c r="Q523" s="153"/>
      <c r="R523" s="153"/>
      <c r="S523" s="153"/>
      <c r="T523" s="153"/>
      <c r="U523" s="153"/>
      <c r="V523" s="153"/>
      <c r="W523" s="153"/>
      <c r="X523" s="153"/>
      <c r="Y523" s="153"/>
      <c r="Z523" s="153"/>
      <c r="AA523" s="153"/>
      <c r="AB523" s="153"/>
    </row>
    <row r="524" spans="1:28" ht="15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/>
      <c r="V524" s="153"/>
      <c r="W524" s="153"/>
      <c r="X524" s="153"/>
      <c r="Y524" s="153"/>
      <c r="Z524" s="153"/>
      <c r="AA524" s="153"/>
      <c r="AB524" s="153"/>
    </row>
    <row r="525" spans="1:28" ht="15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3"/>
      <c r="Q525" s="153"/>
      <c r="R525" s="153"/>
      <c r="S525" s="153"/>
      <c r="T525" s="153"/>
      <c r="U525" s="153"/>
      <c r="V525" s="153"/>
      <c r="W525" s="153"/>
      <c r="X525" s="153"/>
      <c r="Y525" s="153"/>
      <c r="Z525" s="153"/>
      <c r="AA525" s="153"/>
      <c r="AB525" s="153"/>
    </row>
    <row r="526" spans="1:28" ht="15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/>
      <c r="V526" s="153"/>
      <c r="W526" s="153"/>
      <c r="X526" s="153"/>
      <c r="Y526" s="153"/>
      <c r="Z526" s="153"/>
      <c r="AA526" s="153"/>
      <c r="AB526" s="153"/>
    </row>
    <row r="527" spans="1:28" ht="15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  <c r="Y527" s="153"/>
      <c r="Z527" s="153"/>
      <c r="AA527" s="153"/>
      <c r="AB527" s="153"/>
    </row>
    <row r="528" spans="1:28" ht="15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/>
      <c r="V528" s="153"/>
      <c r="W528" s="153"/>
      <c r="X528" s="153"/>
      <c r="Y528" s="153"/>
      <c r="Z528" s="153"/>
      <c r="AA528" s="153"/>
      <c r="AB528" s="153"/>
    </row>
    <row r="529" spans="1:28" ht="15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  <c r="Y529" s="153"/>
      <c r="Z529" s="153"/>
      <c r="AA529" s="153"/>
      <c r="AB529" s="153"/>
    </row>
    <row r="530" spans="1:28" ht="15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  <c r="AB530" s="153"/>
    </row>
    <row r="531" spans="1:28" ht="15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  <c r="AB531" s="153"/>
    </row>
    <row r="532" spans="1:28" ht="15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  <c r="AB532" s="153"/>
    </row>
    <row r="533" spans="1:28" ht="15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3"/>
      <c r="N533" s="153"/>
      <c r="O533" s="153"/>
      <c r="P533" s="153"/>
      <c r="Q533" s="153"/>
      <c r="R533" s="153"/>
      <c r="S533" s="153"/>
      <c r="T533" s="153"/>
      <c r="U533" s="153"/>
      <c r="V533" s="153"/>
      <c r="W533" s="153"/>
      <c r="X533" s="153"/>
      <c r="Y533" s="153"/>
      <c r="Z533" s="153"/>
      <c r="AA533" s="153"/>
      <c r="AB533" s="153"/>
    </row>
    <row r="534" spans="1:28" ht="15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  <c r="AA534" s="153"/>
      <c r="AB534" s="153"/>
    </row>
    <row r="535" spans="1:28" ht="15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  <c r="AB535" s="153"/>
    </row>
    <row r="536" spans="1:28" ht="15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  <c r="AB536" s="153"/>
    </row>
    <row r="537" spans="1:28" ht="15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  <c r="AB537" s="153"/>
    </row>
    <row r="538" spans="1:28" ht="15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  <c r="AB538" s="153"/>
    </row>
    <row r="539" spans="1:28" ht="15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  <c r="AB539" s="153"/>
    </row>
    <row r="540" spans="1:28" ht="15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  <c r="AA540" s="153"/>
      <c r="AB540" s="153"/>
    </row>
    <row r="541" spans="1:28" ht="15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  <c r="Z541" s="153"/>
      <c r="AA541" s="153"/>
      <c r="AB541" s="153"/>
    </row>
    <row r="542" spans="1:28" ht="15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  <c r="Z542" s="153"/>
      <c r="AA542" s="153"/>
      <c r="AB542" s="153"/>
    </row>
    <row r="543" spans="1:28" ht="15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  <c r="V543" s="153"/>
      <c r="W543" s="153"/>
      <c r="X543" s="153"/>
      <c r="Y543" s="153"/>
      <c r="Z543" s="153"/>
      <c r="AA543" s="153"/>
      <c r="AB543" s="153"/>
    </row>
    <row r="544" spans="1:28" ht="15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  <c r="V544" s="153"/>
      <c r="W544" s="153"/>
      <c r="X544" s="153"/>
      <c r="Y544" s="153"/>
      <c r="Z544" s="153"/>
      <c r="AA544" s="153"/>
      <c r="AB544" s="153"/>
    </row>
    <row r="545" spans="1:28" ht="15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3"/>
      <c r="Q545" s="153"/>
      <c r="R545" s="153"/>
      <c r="S545" s="153"/>
      <c r="T545" s="153"/>
      <c r="U545" s="153"/>
      <c r="V545" s="153"/>
      <c r="W545" s="153"/>
      <c r="X545" s="153"/>
      <c r="Y545" s="153"/>
      <c r="Z545" s="153"/>
      <c r="AA545" s="153"/>
      <c r="AB545" s="153"/>
    </row>
    <row r="546" spans="1:28" ht="15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/>
      <c r="V546" s="153"/>
      <c r="W546" s="153"/>
      <c r="X546" s="153"/>
      <c r="Y546" s="153"/>
      <c r="Z546" s="153"/>
      <c r="AA546" s="153"/>
      <c r="AB546" s="153"/>
    </row>
    <row r="547" spans="1:28" ht="15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  <c r="V547" s="153"/>
      <c r="W547" s="153"/>
      <c r="X547" s="153"/>
      <c r="Y547" s="153"/>
      <c r="Z547" s="153"/>
      <c r="AA547" s="153"/>
      <c r="AB547" s="153"/>
    </row>
    <row r="548" spans="1:28" ht="15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/>
      <c r="V548" s="153"/>
      <c r="W548" s="153"/>
      <c r="X548" s="153"/>
      <c r="Y548" s="153"/>
      <c r="Z548" s="153"/>
      <c r="AA548" s="153"/>
      <c r="AB548" s="153"/>
    </row>
    <row r="549" spans="1:28" ht="15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153"/>
      <c r="Y549" s="153"/>
      <c r="Z549" s="153"/>
      <c r="AA549" s="153"/>
      <c r="AB549" s="153"/>
    </row>
    <row r="550" spans="1:28" ht="15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  <c r="V550" s="153"/>
      <c r="W550" s="153"/>
      <c r="X550" s="153"/>
      <c r="Y550" s="153"/>
      <c r="Z550" s="153"/>
      <c r="AA550" s="153"/>
      <c r="AB550" s="153"/>
    </row>
    <row r="551" spans="1:28" ht="15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  <c r="Z551" s="153"/>
      <c r="AA551" s="153"/>
      <c r="AB551" s="153"/>
    </row>
    <row r="552" spans="1:28" ht="15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  <c r="V552" s="153"/>
      <c r="W552" s="153"/>
      <c r="X552" s="153"/>
      <c r="Y552" s="153"/>
      <c r="Z552" s="153"/>
      <c r="AA552" s="153"/>
      <c r="AB552" s="153"/>
    </row>
    <row r="553" spans="1:28" ht="15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3"/>
      <c r="Q553" s="153"/>
      <c r="R553" s="153"/>
      <c r="S553" s="153"/>
      <c r="T553" s="153"/>
      <c r="U553" s="153"/>
      <c r="V553" s="153"/>
      <c r="W553" s="153"/>
      <c r="X553" s="153"/>
      <c r="Y553" s="153"/>
      <c r="Z553" s="153"/>
      <c r="AA553" s="153"/>
      <c r="AB553" s="153"/>
    </row>
    <row r="554" spans="1:28" ht="15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/>
      <c r="V554" s="153"/>
      <c r="W554" s="153"/>
      <c r="X554" s="153"/>
      <c r="Y554" s="153"/>
      <c r="Z554" s="153"/>
      <c r="AA554" s="153"/>
      <c r="AB554" s="153"/>
    </row>
    <row r="555" spans="1:28" ht="15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3"/>
      <c r="Q555" s="153"/>
      <c r="R555" s="153"/>
      <c r="S555" s="153"/>
      <c r="T555" s="153"/>
      <c r="U555" s="153"/>
      <c r="V555" s="153"/>
      <c r="W555" s="153"/>
      <c r="X555" s="153"/>
      <c r="Y555" s="153"/>
      <c r="Z555" s="153"/>
      <c r="AA555" s="153"/>
      <c r="AB555" s="153"/>
    </row>
    <row r="556" spans="1:28" ht="15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/>
      <c r="V556" s="153"/>
      <c r="W556" s="153"/>
      <c r="X556" s="153"/>
      <c r="Y556" s="153"/>
      <c r="Z556" s="153"/>
      <c r="AA556" s="153"/>
      <c r="AB556" s="153"/>
    </row>
    <row r="557" spans="1:28" ht="15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  <c r="V557" s="153"/>
      <c r="W557" s="153"/>
      <c r="X557" s="153"/>
      <c r="Y557" s="153"/>
      <c r="Z557" s="153"/>
      <c r="AA557" s="153"/>
      <c r="AB557" s="153"/>
    </row>
    <row r="558" spans="1:28" ht="15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/>
      <c r="V558" s="153"/>
      <c r="W558" s="153"/>
      <c r="X558" s="153"/>
      <c r="Y558" s="153"/>
      <c r="Z558" s="153"/>
      <c r="AA558" s="153"/>
      <c r="AB558" s="153"/>
    </row>
    <row r="559" spans="1:28" ht="15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  <c r="R559" s="153"/>
      <c r="S559" s="153"/>
      <c r="T559" s="153"/>
      <c r="U559" s="153"/>
      <c r="V559" s="153"/>
      <c r="W559" s="153"/>
      <c r="X559" s="153"/>
      <c r="Y559" s="153"/>
      <c r="Z559" s="153"/>
      <c r="AA559" s="153"/>
      <c r="AB559" s="153"/>
    </row>
    <row r="560" spans="1:28" ht="15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/>
      <c r="V560" s="153"/>
      <c r="W560" s="153"/>
      <c r="X560" s="153"/>
      <c r="Y560" s="153"/>
      <c r="Z560" s="153"/>
      <c r="AA560" s="153"/>
      <c r="AB560" s="153"/>
    </row>
    <row r="561" spans="1:28" ht="15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3"/>
      <c r="Q561" s="153"/>
      <c r="R561" s="153"/>
      <c r="S561" s="153"/>
      <c r="T561" s="153"/>
      <c r="U561" s="153"/>
      <c r="V561" s="153"/>
      <c r="W561" s="153"/>
      <c r="X561" s="153"/>
      <c r="Y561" s="153"/>
      <c r="Z561" s="153"/>
      <c r="AA561" s="153"/>
      <c r="AB561" s="153"/>
    </row>
    <row r="562" spans="1:28" ht="15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/>
      <c r="V562" s="153"/>
      <c r="W562" s="153"/>
      <c r="X562" s="153"/>
      <c r="Y562" s="153"/>
      <c r="Z562" s="153"/>
      <c r="AA562" s="153"/>
      <c r="AB562" s="153"/>
    </row>
    <row r="563" spans="1:28" ht="15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3"/>
      <c r="Q563" s="153"/>
      <c r="R563" s="153"/>
      <c r="S563" s="153"/>
      <c r="T563" s="153"/>
      <c r="U563" s="153"/>
      <c r="V563" s="153"/>
      <c r="W563" s="153"/>
      <c r="X563" s="153"/>
      <c r="Y563" s="153"/>
      <c r="Z563" s="153"/>
      <c r="AA563" s="153"/>
      <c r="AB563" s="153"/>
    </row>
    <row r="564" spans="1:28" ht="15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  <c r="V564" s="153"/>
      <c r="W564" s="153"/>
      <c r="X564" s="153"/>
      <c r="Y564" s="153"/>
      <c r="Z564" s="153"/>
      <c r="AA564" s="153"/>
      <c r="AB564" s="153"/>
    </row>
    <row r="565" spans="1:28" ht="15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3"/>
      <c r="Q565" s="153"/>
      <c r="R565" s="153"/>
      <c r="S565" s="153"/>
      <c r="T565" s="153"/>
      <c r="U565" s="153"/>
      <c r="V565" s="153"/>
      <c r="W565" s="153"/>
      <c r="X565" s="153"/>
      <c r="Y565" s="153"/>
      <c r="Z565" s="153"/>
      <c r="AA565" s="153"/>
      <c r="AB565" s="153"/>
    </row>
    <row r="566" spans="1:28" ht="15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  <c r="V566" s="153"/>
      <c r="W566" s="153"/>
      <c r="X566" s="153"/>
      <c r="Y566" s="153"/>
      <c r="Z566" s="153"/>
      <c r="AA566" s="153"/>
      <c r="AB566" s="153"/>
    </row>
    <row r="567" spans="1:28" ht="15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  <c r="V567" s="153"/>
      <c r="W567" s="153"/>
      <c r="X567" s="153"/>
      <c r="Y567" s="153"/>
      <c r="Z567" s="153"/>
      <c r="AA567" s="153"/>
      <c r="AB567" s="153"/>
    </row>
    <row r="568" spans="1:28" ht="15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  <c r="V568" s="153"/>
      <c r="W568" s="153"/>
      <c r="X568" s="153"/>
      <c r="Y568" s="153"/>
      <c r="Z568" s="153"/>
      <c r="AA568" s="153"/>
      <c r="AB568" s="153"/>
    </row>
    <row r="569" spans="1:28" ht="15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3"/>
      <c r="P569" s="153"/>
      <c r="Q569" s="153"/>
      <c r="R569" s="153"/>
      <c r="S569" s="153"/>
      <c r="T569" s="153"/>
      <c r="U569" s="153"/>
      <c r="V569" s="153"/>
      <c r="W569" s="153"/>
      <c r="X569" s="153"/>
      <c r="Y569" s="153"/>
      <c r="Z569" s="153"/>
      <c r="AA569" s="153"/>
      <c r="AB569" s="153"/>
    </row>
    <row r="570" spans="1:28" ht="15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  <c r="V570" s="153"/>
      <c r="W570" s="153"/>
      <c r="X570" s="153"/>
      <c r="Y570" s="153"/>
      <c r="Z570" s="153"/>
      <c r="AA570" s="153"/>
      <c r="AB570" s="153"/>
    </row>
    <row r="571" spans="1:28" ht="15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153"/>
      <c r="Y571" s="153"/>
      <c r="Z571" s="153"/>
      <c r="AA571" s="153"/>
      <c r="AB571" s="153"/>
    </row>
    <row r="572" spans="1:28" ht="15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3"/>
      <c r="Z572" s="153"/>
      <c r="AA572" s="153"/>
      <c r="AB572" s="153"/>
    </row>
    <row r="573" spans="1:28" ht="15">
      <c r="A573" s="153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  <c r="V573" s="153"/>
      <c r="W573" s="153"/>
      <c r="X573" s="153"/>
      <c r="Y573" s="153"/>
      <c r="Z573" s="153"/>
      <c r="AA573" s="153"/>
      <c r="AB573" s="153"/>
    </row>
    <row r="574" spans="1:28" ht="15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  <c r="AA574" s="153"/>
      <c r="AB574" s="153"/>
    </row>
    <row r="575" spans="1:28" ht="15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  <c r="Z575" s="153"/>
      <c r="AA575" s="153"/>
      <c r="AB575" s="153"/>
    </row>
    <row r="576" spans="1:28" ht="15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153"/>
      <c r="X576" s="153"/>
      <c r="Y576" s="153"/>
      <c r="Z576" s="153"/>
      <c r="AA576" s="153"/>
      <c r="AB576" s="153"/>
    </row>
    <row r="577" spans="1:28" ht="15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53"/>
      <c r="W577" s="153"/>
      <c r="X577" s="153"/>
      <c r="Y577" s="153"/>
      <c r="Z577" s="153"/>
      <c r="AA577" s="153"/>
      <c r="AB577" s="153"/>
    </row>
    <row r="578" spans="1:28" ht="15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/>
      <c r="V578" s="153"/>
      <c r="W578" s="153"/>
      <c r="X578" s="153"/>
      <c r="Y578" s="153"/>
      <c r="Z578" s="153"/>
      <c r="AA578" s="153"/>
      <c r="AB578" s="153"/>
    </row>
    <row r="579" spans="1:28" ht="15">
      <c r="A579" s="153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</row>
    <row r="580" spans="1:28" ht="15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/>
      <c r="V580" s="153"/>
      <c r="W580" s="153"/>
      <c r="X580" s="153"/>
      <c r="Y580" s="153"/>
      <c r="Z580" s="153"/>
      <c r="AA580" s="153"/>
      <c r="AB580" s="153"/>
    </row>
    <row r="581" spans="1:28" ht="15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  <c r="N581" s="153"/>
      <c r="O581" s="153"/>
      <c r="P581" s="153"/>
      <c r="Q581" s="153"/>
      <c r="R581" s="153"/>
      <c r="S581" s="153"/>
      <c r="T581" s="153"/>
      <c r="U581" s="153"/>
      <c r="V581" s="153"/>
      <c r="W581" s="153"/>
      <c r="X581" s="153"/>
      <c r="Y581" s="153"/>
      <c r="Z581" s="153"/>
      <c r="AA581" s="153"/>
      <c r="AB581" s="153"/>
    </row>
    <row r="582" spans="1:28" ht="15">
      <c r="A582" s="153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/>
      <c r="V582" s="153"/>
      <c r="W582" s="153"/>
      <c r="X582" s="153"/>
      <c r="Y582" s="153"/>
      <c r="Z582" s="153"/>
      <c r="AA582" s="153"/>
      <c r="AB582" s="153"/>
    </row>
    <row r="583" spans="1:28" ht="15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3"/>
      <c r="Q583" s="153"/>
      <c r="R583" s="153"/>
      <c r="S583" s="153"/>
      <c r="T583" s="153"/>
      <c r="U583" s="153"/>
      <c r="V583" s="153"/>
      <c r="W583" s="153"/>
      <c r="X583" s="153"/>
      <c r="Y583" s="153"/>
      <c r="Z583" s="153"/>
      <c r="AA583" s="153"/>
      <c r="AB583" s="153"/>
    </row>
    <row r="584" spans="1:28" ht="15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/>
      <c r="V584" s="153"/>
      <c r="W584" s="153"/>
      <c r="X584" s="153"/>
      <c r="Y584" s="153"/>
      <c r="Z584" s="153"/>
      <c r="AA584" s="153"/>
      <c r="AB584" s="153"/>
    </row>
    <row r="585" spans="1:28" ht="15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3"/>
      <c r="P585" s="153"/>
      <c r="Q585" s="153"/>
      <c r="R585" s="153"/>
      <c r="S585" s="153"/>
      <c r="T585" s="153"/>
      <c r="U585" s="153"/>
      <c r="V585" s="153"/>
      <c r="W585" s="153"/>
      <c r="X585" s="153"/>
      <c r="Y585" s="153"/>
      <c r="Z585" s="153"/>
      <c r="AA585" s="153"/>
      <c r="AB585" s="153"/>
    </row>
    <row r="586" spans="1:28" ht="15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/>
      <c r="V586" s="153"/>
      <c r="W586" s="153"/>
      <c r="X586" s="153"/>
      <c r="Y586" s="153"/>
      <c r="Z586" s="153"/>
      <c r="AA586" s="153"/>
      <c r="AB586" s="153"/>
    </row>
    <row r="587" spans="1:28" ht="15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3"/>
      <c r="Q587" s="153"/>
      <c r="R587" s="153"/>
      <c r="S587" s="153"/>
      <c r="T587" s="153"/>
      <c r="U587" s="153"/>
      <c r="V587" s="153"/>
      <c r="W587" s="153"/>
      <c r="X587" s="153"/>
      <c r="Y587" s="153"/>
      <c r="Z587" s="153"/>
      <c r="AA587" s="153"/>
      <c r="AB587" s="153"/>
    </row>
    <row r="588" spans="1:28" ht="15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/>
      <c r="V588" s="153"/>
      <c r="W588" s="153"/>
      <c r="X588" s="153"/>
      <c r="Y588" s="153"/>
      <c r="Z588" s="153"/>
      <c r="AA588" s="153"/>
      <c r="AB588" s="153"/>
    </row>
    <row r="589" spans="1:28" ht="15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  <c r="N589" s="153"/>
      <c r="O589" s="153"/>
      <c r="P589" s="153"/>
      <c r="Q589" s="153"/>
      <c r="R589" s="153"/>
      <c r="S589" s="153"/>
      <c r="T589" s="153"/>
      <c r="U589" s="153"/>
      <c r="V589" s="153"/>
      <c r="W589" s="153"/>
      <c r="X589" s="153"/>
      <c r="Y589" s="153"/>
      <c r="Z589" s="153"/>
      <c r="AA589" s="153"/>
      <c r="AB589" s="153"/>
    </row>
    <row r="590" spans="1:28" ht="15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/>
      <c r="V590" s="153"/>
      <c r="W590" s="153"/>
      <c r="X590" s="153"/>
      <c r="Y590" s="153"/>
      <c r="Z590" s="153"/>
      <c r="AA590" s="153"/>
      <c r="AB590" s="153"/>
    </row>
    <row r="591" spans="1:28" ht="15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  <c r="O591" s="153"/>
      <c r="P591" s="153"/>
      <c r="Q591" s="153"/>
      <c r="R591" s="153"/>
      <c r="S591" s="153"/>
      <c r="T591" s="153"/>
      <c r="U591" s="153"/>
      <c r="V591" s="153"/>
      <c r="W591" s="153"/>
      <c r="X591" s="153"/>
      <c r="Y591" s="153"/>
      <c r="Z591" s="153"/>
      <c r="AA591" s="153"/>
      <c r="AB591" s="153"/>
    </row>
    <row r="592" spans="1:28" ht="15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/>
      <c r="V592" s="153"/>
      <c r="W592" s="153"/>
      <c r="X592" s="153"/>
      <c r="Y592" s="153"/>
      <c r="Z592" s="153"/>
      <c r="AA592" s="153"/>
      <c r="AB592" s="153"/>
    </row>
    <row r="593" spans="1:28" ht="15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3"/>
      <c r="Q593" s="153"/>
      <c r="R593" s="153"/>
      <c r="S593" s="153"/>
      <c r="T593" s="153"/>
      <c r="U593" s="153"/>
      <c r="V593" s="153"/>
      <c r="W593" s="153"/>
      <c r="X593" s="153"/>
      <c r="Y593" s="153"/>
      <c r="Z593" s="153"/>
      <c r="AA593" s="153"/>
      <c r="AB593" s="153"/>
    </row>
    <row r="594" spans="1:28" ht="15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/>
      <c r="V594" s="153"/>
      <c r="W594" s="153"/>
      <c r="X594" s="153"/>
      <c r="Y594" s="153"/>
      <c r="Z594" s="153"/>
      <c r="AA594" s="153"/>
      <c r="AB594" s="153"/>
    </row>
    <row r="595" spans="1:28" ht="15">
      <c r="A595" s="153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3"/>
      <c r="P595" s="153"/>
      <c r="Q595" s="153"/>
      <c r="R595" s="153"/>
      <c r="S595" s="153"/>
      <c r="T595" s="153"/>
      <c r="U595" s="153"/>
      <c r="V595" s="153"/>
      <c r="W595" s="153"/>
      <c r="X595" s="153"/>
      <c r="Y595" s="153"/>
      <c r="Z595" s="153"/>
      <c r="AA595" s="153"/>
      <c r="AB595" s="153"/>
    </row>
    <row r="596" spans="1:28" ht="15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/>
      <c r="V596" s="153"/>
      <c r="W596" s="153"/>
      <c r="X596" s="153"/>
      <c r="Y596" s="153"/>
      <c r="Z596" s="153"/>
      <c r="AA596" s="153"/>
      <c r="AB596" s="153"/>
    </row>
    <row r="597" spans="1:28" ht="15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  <c r="N597" s="153"/>
      <c r="O597" s="153"/>
      <c r="P597" s="153"/>
      <c r="Q597" s="153"/>
      <c r="R597" s="153"/>
      <c r="S597" s="153"/>
      <c r="T597" s="153"/>
      <c r="U597" s="153"/>
      <c r="V597" s="153"/>
      <c r="W597" s="153"/>
      <c r="X597" s="153"/>
      <c r="Y597" s="153"/>
      <c r="Z597" s="153"/>
      <c r="AA597" s="153"/>
      <c r="AB597" s="153"/>
    </row>
    <row r="598" spans="1:28" ht="15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/>
      <c r="V598" s="153"/>
      <c r="W598" s="153"/>
      <c r="X598" s="153"/>
      <c r="Y598" s="153"/>
      <c r="Z598" s="153"/>
      <c r="AA598" s="153"/>
      <c r="AB598" s="153"/>
    </row>
    <row r="599" spans="1:28" ht="15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3"/>
      <c r="N599" s="153"/>
      <c r="O599" s="153"/>
      <c r="P599" s="153"/>
      <c r="Q599" s="153"/>
      <c r="R599" s="153"/>
      <c r="S599" s="153"/>
      <c r="T599" s="153"/>
      <c r="U599" s="153"/>
      <c r="V599" s="153"/>
      <c r="W599" s="153"/>
      <c r="X599" s="153"/>
      <c r="Y599" s="153"/>
      <c r="Z599" s="153"/>
      <c r="AA599" s="153"/>
      <c r="AB599" s="153"/>
    </row>
    <row r="600" spans="1:28" ht="15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/>
      <c r="V600" s="153"/>
      <c r="W600" s="153"/>
      <c r="X600" s="153"/>
      <c r="Y600" s="153"/>
      <c r="Z600" s="153"/>
      <c r="AA600" s="153"/>
      <c r="AB600" s="153"/>
    </row>
    <row r="601" spans="1:28" ht="15">
      <c r="A601" s="153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  <c r="M601" s="153"/>
      <c r="N601" s="153"/>
      <c r="O601" s="153"/>
      <c r="P601" s="153"/>
      <c r="Q601" s="153"/>
      <c r="R601" s="153"/>
      <c r="S601" s="153"/>
      <c r="T601" s="153"/>
      <c r="U601" s="153"/>
      <c r="V601" s="153"/>
      <c r="W601" s="153"/>
      <c r="X601" s="153"/>
      <c r="Y601" s="153"/>
      <c r="Z601" s="153"/>
      <c r="AA601" s="153"/>
      <c r="AB601" s="153"/>
    </row>
    <row r="602" spans="1:28" ht="15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/>
      <c r="V602" s="153"/>
      <c r="W602" s="153"/>
      <c r="X602" s="153"/>
      <c r="Y602" s="153"/>
      <c r="Z602" s="153"/>
      <c r="AA602" s="153"/>
      <c r="AB602" s="153"/>
    </row>
    <row r="603" spans="1:28" ht="15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  <c r="M603" s="153"/>
      <c r="N603" s="153"/>
      <c r="O603" s="153"/>
      <c r="P603" s="153"/>
      <c r="Q603" s="153"/>
      <c r="R603" s="153"/>
      <c r="S603" s="153"/>
      <c r="T603" s="153"/>
      <c r="U603" s="153"/>
      <c r="V603" s="153"/>
      <c r="W603" s="153"/>
      <c r="X603" s="153"/>
      <c r="Y603" s="153"/>
      <c r="Z603" s="153"/>
      <c r="AA603" s="153"/>
      <c r="AB603" s="153"/>
    </row>
    <row r="604" spans="1:28" ht="15">
      <c r="A604" s="153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/>
      <c r="V604" s="153"/>
      <c r="W604" s="153"/>
      <c r="X604" s="153"/>
      <c r="Y604" s="153"/>
      <c r="Z604" s="153"/>
      <c r="AA604" s="153"/>
      <c r="AB604" s="153"/>
    </row>
    <row r="605" spans="1:28" ht="15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  <c r="M605" s="153"/>
      <c r="N605" s="153"/>
      <c r="O605" s="153"/>
      <c r="P605" s="153"/>
      <c r="Q605" s="153"/>
      <c r="R605" s="153"/>
      <c r="S605" s="153"/>
      <c r="T605" s="153"/>
      <c r="U605" s="153"/>
      <c r="V605" s="153"/>
      <c r="W605" s="153"/>
      <c r="X605" s="153"/>
      <c r="Y605" s="153"/>
      <c r="Z605" s="153"/>
      <c r="AA605" s="153"/>
      <c r="AB605" s="153"/>
    </row>
    <row r="606" spans="1:28" ht="15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/>
      <c r="V606" s="153"/>
      <c r="W606" s="153"/>
      <c r="X606" s="153"/>
      <c r="Y606" s="153"/>
      <c r="Z606" s="153"/>
      <c r="AA606" s="153"/>
      <c r="AB606" s="153"/>
    </row>
    <row r="607" spans="1:28" ht="15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  <c r="N607" s="153"/>
      <c r="O607" s="153"/>
      <c r="P607" s="153"/>
      <c r="Q607" s="153"/>
      <c r="R607" s="153"/>
      <c r="S607" s="153"/>
      <c r="T607" s="153"/>
      <c r="U607" s="153"/>
      <c r="V607" s="153"/>
      <c r="W607" s="153"/>
      <c r="X607" s="153"/>
      <c r="Y607" s="153"/>
      <c r="Z607" s="153"/>
      <c r="AA607" s="153"/>
      <c r="AB607" s="153"/>
    </row>
    <row r="608" spans="1:28" ht="15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/>
      <c r="V608" s="153"/>
      <c r="W608" s="153"/>
      <c r="X608" s="153"/>
      <c r="Y608" s="153"/>
      <c r="Z608" s="153"/>
      <c r="AA608" s="153"/>
      <c r="AB608" s="153"/>
    </row>
    <row r="609" spans="1:28" ht="15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  <c r="O609" s="153"/>
      <c r="P609" s="153"/>
      <c r="Q609" s="153"/>
      <c r="R609" s="153"/>
      <c r="S609" s="153"/>
      <c r="T609" s="153"/>
      <c r="U609" s="153"/>
      <c r="V609" s="153"/>
      <c r="W609" s="153"/>
      <c r="X609" s="153"/>
      <c r="Y609" s="153"/>
      <c r="Z609" s="153"/>
      <c r="AA609" s="153"/>
      <c r="AB609" s="153"/>
    </row>
    <row r="610" spans="1:28" ht="15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/>
      <c r="V610" s="153"/>
      <c r="W610" s="153"/>
      <c r="X610" s="153"/>
      <c r="Y610" s="153"/>
      <c r="Z610" s="153"/>
      <c r="AA610" s="153"/>
      <c r="AB610" s="153"/>
    </row>
    <row r="611" spans="1:28" ht="15">
      <c r="A611" s="153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  <c r="N611" s="153"/>
      <c r="O611" s="153"/>
      <c r="P611" s="153"/>
      <c r="Q611" s="153"/>
      <c r="R611" s="153"/>
      <c r="S611" s="153"/>
      <c r="T611" s="153"/>
      <c r="U611" s="153"/>
      <c r="V611" s="153"/>
      <c r="W611" s="153"/>
      <c r="X611" s="153"/>
      <c r="Y611" s="153"/>
      <c r="Z611" s="153"/>
      <c r="AA611" s="153"/>
      <c r="AB611" s="153"/>
    </row>
    <row r="612" spans="1:28" ht="15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/>
      <c r="V612" s="153"/>
      <c r="W612" s="153"/>
      <c r="X612" s="153"/>
      <c r="Y612" s="153"/>
      <c r="Z612" s="153"/>
      <c r="AA612" s="153"/>
      <c r="AB612" s="153"/>
    </row>
    <row r="613" spans="1:28" ht="15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  <c r="M613" s="153"/>
      <c r="N613" s="153"/>
      <c r="O613" s="153"/>
      <c r="P613" s="153"/>
      <c r="Q613" s="153"/>
      <c r="R613" s="153"/>
      <c r="S613" s="153"/>
      <c r="T613" s="153"/>
      <c r="U613" s="153"/>
      <c r="V613" s="153"/>
      <c r="W613" s="153"/>
      <c r="X613" s="153"/>
      <c r="Y613" s="153"/>
      <c r="Z613" s="153"/>
      <c r="AA613" s="153"/>
      <c r="AB613" s="153"/>
    </row>
    <row r="614" spans="1:28" ht="15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/>
      <c r="V614" s="153"/>
      <c r="W614" s="153"/>
      <c r="X614" s="153"/>
      <c r="Y614" s="153"/>
      <c r="Z614" s="153"/>
      <c r="AA614" s="153"/>
      <c r="AB614" s="153"/>
    </row>
    <row r="615" spans="1:28" ht="15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  <c r="M615" s="153"/>
      <c r="N615" s="153"/>
      <c r="O615" s="153"/>
      <c r="P615" s="153"/>
      <c r="Q615" s="153"/>
      <c r="R615" s="153"/>
      <c r="S615" s="153"/>
      <c r="T615" s="153"/>
      <c r="U615" s="153"/>
      <c r="V615" s="153"/>
      <c r="W615" s="153"/>
      <c r="X615" s="153"/>
      <c r="Y615" s="153"/>
      <c r="Z615" s="153"/>
      <c r="AA615" s="153"/>
      <c r="AB615" s="153"/>
    </row>
    <row r="616" spans="1:28" ht="15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/>
      <c r="V616" s="153"/>
      <c r="W616" s="153"/>
      <c r="X616" s="153"/>
      <c r="Y616" s="153"/>
      <c r="Z616" s="153"/>
      <c r="AA616" s="153"/>
      <c r="AB616" s="153"/>
    </row>
    <row r="617" spans="1:28" ht="15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  <c r="N617" s="153"/>
      <c r="O617" s="153"/>
      <c r="P617" s="153"/>
      <c r="Q617" s="153"/>
      <c r="R617" s="153"/>
      <c r="S617" s="153"/>
      <c r="T617" s="153"/>
      <c r="U617" s="153"/>
      <c r="V617" s="153"/>
      <c r="W617" s="153"/>
      <c r="X617" s="153"/>
      <c r="Y617" s="153"/>
      <c r="Z617" s="153"/>
      <c r="AA617" s="153"/>
      <c r="AB617" s="153"/>
    </row>
    <row r="618" spans="1:28" ht="15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/>
      <c r="V618" s="153"/>
      <c r="W618" s="153"/>
      <c r="X618" s="153"/>
      <c r="Y618" s="153"/>
      <c r="Z618" s="153"/>
      <c r="AA618" s="153"/>
      <c r="AB618" s="153"/>
    </row>
    <row r="619" spans="1:28" ht="15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3"/>
      <c r="P619" s="153"/>
      <c r="Q619" s="153"/>
      <c r="R619" s="153"/>
      <c r="S619" s="153"/>
      <c r="T619" s="153"/>
      <c r="U619" s="153"/>
      <c r="V619" s="153"/>
      <c r="W619" s="153"/>
      <c r="X619" s="153"/>
      <c r="Y619" s="153"/>
      <c r="Z619" s="153"/>
      <c r="AA619" s="153"/>
      <c r="AB619" s="153"/>
    </row>
    <row r="620" spans="1:28" ht="15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/>
      <c r="V620" s="153"/>
      <c r="W620" s="153"/>
      <c r="X620" s="153"/>
      <c r="Y620" s="153"/>
      <c r="Z620" s="153"/>
      <c r="AA620" s="153"/>
      <c r="AB620" s="153"/>
    </row>
    <row r="621" spans="1:28" ht="15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3"/>
      <c r="P621" s="153"/>
      <c r="Q621" s="153"/>
      <c r="R621" s="153"/>
      <c r="S621" s="153"/>
      <c r="T621" s="153"/>
      <c r="U621" s="153"/>
      <c r="V621" s="153"/>
      <c r="W621" s="153"/>
      <c r="X621" s="153"/>
      <c r="Y621" s="153"/>
      <c r="Z621" s="153"/>
      <c r="AA621" s="153"/>
      <c r="AB621" s="153"/>
    </row>
    <row r="622" spans="1:28" ht="15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/>
      <c r="V622" s="153"/>
      <c r="W622" s="153"/>
      <c r="X622" s="153"/>
      <c r="Y622" s="153"/>
      <c r="Z622" s="153"/>
      <c r="AA622" s="153"/>
      <c r="AB622" s="153"/>
    </row>
    <row r="623" spans="1:28" ht="15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53"/>
      <c r="P623" s="153"/>
      <c r="Q623" s="153"/>
      <c r="R623" s="153"/>
      <c r="S623" s="153"/>
      <c r="T623" s="153"/>
      <c r="U623" s="153"/>
      <c r="V623" s="153"/>
      <c r="W623" s="153"/>
      <c r="X623" s="153"/>
      <c r="Y623" s="153"/>
      <c r="Z623" s="153"/>
      <c r="AA623" s="153"/>
      <c r="AB623" s="153"/>
    </row>
    <row r="624" spans="1:28" ht="15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/>
      <c r="V624" s="153"/>
      <c r="W624" s="153"/>
      <c r="X624" s="153"/>
      <c r="Y624" s="153"/>
      <c r="Z624" s="153"/>
      <c r="AA624" s="153"/>
      <c r="AB624" s="153"/>
    </row>
    <row r="625" spans="1:28" ht="15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53"/>
      <c r="P625" s="153"/>
      <c r="Q625" s="153"/>
      <c r="R625" s="153"/>
      <c r="S625" s="153"/>
      <c r="T625" s="153"/>
      <c r="U625" s="153"/>
      <c r="V625" s="153"/>
      <c r="W625" s="153"/>
      <c r="X625" s="153"/>
      <c r="Y625" s="153"/>
      <c r="Z625" s="153"/>
      <c r="AA625" s="153"/>
      <c r="AB625" s="153"/>
    </row>
    <row r="626" spans="1:28" ht="15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/>
      <c r="V626" s="153"/>
      <c r="W626" s="153"/>
      <c r="X626" s="153"/>
      <c r="Y626" s="153"/>
      <c r="Z626" s="153"/>
      <c r="AA626" s="153"/>
      <c r="AB626" s="153"/>
    </row>
    <row r="627" spans="1:28" ht="15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53"/>
      <c r="P627" s="153"/>
      <c r="Q627" s="153"/>
      <c r="R627" s="153"/>
      <c r="S627" s="153"/>
      <c r="T627" s="153"/>
      <c r="U627" s="153"/>
      <c r="V627" s="153"/>
      <c r="W627" s="153"/>
      <c r="X627" s="153"/>
      <c r="Y627" s="153"/>
      <c r="Z627" s="153"/>
      <c r="AA627" s="153"/>
      <c r="AB627" s="153"/>
    </row>
    <row r="628" spans="1:28" ht="15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/>
      <c r="V628" s="153"/>
      <c r="W628" s="153"/>
      <c r="X628" s="153"/>
      <c r="Y628" s="153"/>
      <c r="Z628" s="153"/>
      <c r="AA628" s="153"/>
      <c r="AB628" s="153"/>
    </row>
    <row r="629" spans="1:28" ht="15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53"/>
      <c r="P629" s="153"/>
      <c r="Q629" s="153"/>
      <c r="R629" s="153"/>
      <c r="S629" s="153"/>
      <c r="T629" s="153"/>
      <c r="U629" s="153"/>
      <c r="V629" s="153"/>
      <c r="W629" s="153"/>
      <c r="X629" s="153"/>
      <c r="Y629" s="153"/>
      <c r="Z629" s="153"/>
      <c r="AA629" s="153"/>
      <c r="AB629" s="153"/>
    </row>
    <row r="630" spans="1:28" ht="15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/>
      <c r="V630" s="153"/>
      <c r="W630" s="153"/>
      <c r="X630" s="153"/>
      <c r="Y630" s="153"/>
      <c r="Z630" s="153"/>
      <c r="AA630" s="153"/>
      <c r="AB630" s="153"/>
    </row>
    <row r="631" spans="1:28" ht="15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153"/>
      <c r="P631" s="153"/>
      <c r="Q631" s="153"/>
      <c r="R631" s="153"/>
      <c r="S631" s="153"/>
      <c r="T631" s="153"/>
      <c r="U631" s="153"/>
      <c r="V631" s="153"/>
      <c r="W631" s="153"/>
      <c r="X631" s="153"/>
      <c r="Y631" s="153"/>
      <c r="Z631" s="153"/>
      <c r="AA631" s="153"/>
      <c r="AB631" s="153"/>
    </row>
    <row r="632" spans="1:28" ht="15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/>
      <c r="V632" s="153"/>
      <c r="W632" s="153"/>
      <c r="X632" s="153"/>
      <c r="Y632" s="153"/>
      <c r="Z632" s="153"/>
      <c r="AA632" s="153"/>
      <c r="AB632" s="153"/>
    </row>
    <row r="633" spans="1:28" ht="15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  <c r="M633" s="153"/>
      <c r="N633" s="153"/>
      <c r="O633" s="153"/>
      <c r="P633" s="153"/>
      <c r="Q633" s="153"/>
      <c r="R633" s="153"/>
      <c r="S633" s="153"/>
      <c r="T633" s="153"/>
      <c r="U633" s="153"/>
      <c r="V633" s="153"/>
      <c r="W633" s="153"/>
      <c r="X633" s="153"/>
      <c r="Y633" s="153"/>
      <c r="Z633" s="153"/>
      <c r="AA633" s="153"/>
      <c r="AB633" s="153"/>
    </row>
    <row r="634" spans="1:28" ht="15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/>
      <c r="V634" s="153"/>
      <c r="W634" s="153"/>
      <c r="X634" s="153"/>
      <c r="Y634" s="153"/>
      <c r="Z634" s="153"/>
      <c r="AA634" s="153"/>
      <c r="AB634" s="153"/>
    </row>
    <row r="635" spans="1:28" ht="15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  <c r="M635" s="153"/>
      <c r="N635" s="153"/>
      <c r="O635" s="153"/>
      <c r="P635" s="153"/>
      <c r="Q635" s="153"/>
      <c r="R635" s="153"/>
      <c r="S635" s="153"/>
      <c r="T635" s="153"/>
      <c r="U635" s="153"/>
      <c r="V635" s="153"/>
      <c r="W635" s="153"/>
      <c r="X635" s="153"/>
      <c r="Y635" s="153"/>
      <c r="Z635" s="153"/>
      <c r="AA635" s="153"/>
      <c r="AB635" s="153"/>
    </row>
    <row r="636" spans="1:28" ht="15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/>
      <c r="V636" s="153"/>
      <c r="W636" s="153"/>
      <c r="X636" s="153"/>
      <c r="Y636" s="153"/>
      <c r="Z636" s="153"/>
      <c r="AA636" s="153"/>
      <c r="AB636" s="153"/>
    </row>
    <row r="637" spans="1:28" ht="15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  <c r="M637" s="153"/>
      <c r="N637" s="153"/>
      <c r="O637" s="153"/>
      <c r="P637" s="153"/>
      <c r="Q637" s="153"/>
      <c r="R637" s="153"/>
      <c r="S637" s="153"/>
      <c r="T637" s="153"/>
      <c r="U637" s="153"/>
      <c r="V637" s="153"/>
      <c r="W637" s="153"/>
      <c r="X637" s="153"/>
      <c r="Y637" s="153"/>
      <c r="Z637" s="153"/>
      <c r="AA637" s="153"/>
      <c r="AB637" s="153"/>
    </row>
    <row r="638" spans="1:28" ht="15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/>
      <c r="V638" s="153"/>
      <c r="W638" s="153"/>
      <c r="X638" s="153"/>
      <c r="Y638" s="153"/>
      <c r="Z638" s="153"/>
      <c r="AA638" s="153"/>
      <c r="AB638" s="153"/>
    </row>
    <row r="639" spans="1:28" ht="15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53"/>
      <c r="P639" s="153"/>
      <c r="Q639" s="153"/>
      <c r="R639" s="153"/>
      <c r="S639" s="153"/>
      <c r="T639" s="153"/>
      <c r="U639" s="153"/>
      <c r="V639" s="153"/>
      <c r="W639" s="153"/>
      <c r="X639" s="153"/>
      <c r="Y639" s="153"/>
      <c r="Z639" s="153"/>
      <c r="AA639" s="153"/>
      <c r="AB639" s="153"/>
    </row>
    <row r="640" spans="1:28" ht="15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/>
      <c r="V640" s="153"/>
      <c r="W640" s="153"/>
      <c r="X640" s="153"/>
      <c r="Y640" s="153"/>
      <c r="Z640" s="153"/>
      <c r="AA640" s="153"/>
      <c r="AB640" s="153"/>
    </row>
    <row r="641" spans="1:28" ht="15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53"/>
      <c r="P641" s="153"/>
      <c r="Q641" s="153"/>
      <c r="R641" s="153"/>
      <c r="S641" s="153"/>
      <c r="T641" s="153"/>
      <c r="U641" s="153"/>
      <c r="V641" s="153"/>
      <c r="W641" s="153"/>
      <c r="X641" s="153"/>
      <c r="Y641" s="153"/>
      <c r="Z641" s="153"/>
      <c r="AA641" s="153"/>
      <c r="AB641" s="153"/>
    </row>
    <row r="642" spans="1:28" ht="15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/>
      <c r="V642" s="153"/>
      <c r="W642" s="153"/>
      <c r="X642" s="153"/>
      <c r="Y642" s="153"/>
      <c r="Z642" s="153"/>
      <c r="AA642" s="153"/>
      <c r="AB642" s="153"/>
    </row>
    <row r="643" spans="1:28" ht="15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53"/>
      <c r="P643" s="153"/>
      <c r="Q643" s="153"/>
      <c r="R643" s="153"/>
      <c r="S643" s="153"/>
      <c r="T643" s="153"/>
      <c r="U643" s="153"/>
      <c r="V643" s="153"/>
      <c r="W643" s="153"/>
      <c r="X643" s="153"/>
      <c r="Y643" s="153"/>
      <c r="Z643" s="153"/>
      <c r="AA643" s="153"/>
      <c r="AB643" s="153"/>
    </row>
    <row r="644" spans="1:28" ht="15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/>
      <c r="V644" s="153"/>
      <c r="W644" s="153"/>
      <c r="X644" s="153"/>
      <c r="Y644" s="153"/>
      <c r="Z644" s="153"/>
      <c r="AA644" s="153"/>
      <c r="AB644" s="153"/>
    </row>
    <row r="645" spans="1:28" ht="15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53"/>
      <c r="P645" s="153"/>
      <c r="Q645" s="153"/>
      <c r="R645" s="153"/>
      <c r="S645" s="153"/>
      <c r="T645" s="153"/>
      <c r="U645" s="153"/>
      <c r="V645" s="153"/>
      <c r="W645" s="153"/>
      <c r="X645" s="153"/>
      <c r="Y645" s="153"/>
      <c r="Z645" s="153"/>
      <c r="AA645" s="153"/>
      <c r="AB645" s="153"/>
    </row>
    <row r="646" spans="1:28" ht="15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/>
      <c r="V646" s="153"/>
      <c r="W646" s="153"/>
      <c r="X646" s="153"/>
      <c r="Y646" s="153"/>
      <c r="Z646" s="153"/>
      <c r="AA646" s="153"/>
      <c r="AB646" s="153"/>
    </row>
    <row r="647" spans="1:28" ht="15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53"/>
      <c r="P647" s="153"/>
      <c r="Q647" s="153"/>
      <c r="R647" s="153"/>
      <c r="S647" s="153"/>
      <c r="T647" s="153"/>
      <c r="U647" s="153"/>
      <c r="V647" s="153"/>
      <c r="W647" s="153"/>
      <c r="X647" s="153"/>
      <c r="Y647" s="153"/>
      <c r="Z647" s="153"/>
      <c r="AA647" s="153"/>
      <c r="AB647" s="153"/>
    </row>
    <row r="648" spans="1:28" ht="15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/>
      <c r="V648" s="153"/>
      <c r="W648" s="153"/>
      <c r="X648" s="153"/>
      <c r="Y648" s="153"/>
      <c r="Z648" s="153"/>
      <c r="AA648" s="153"/>
      <c r="AB648" s="153"/>
    </row>
    <row r="649" spans="1:28" ht="15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  <c r="N649" s="153"/>
      <c r="O649" s="153"/>
      <c r="P649" s="153"/>
      <c r="Q649" s="153"/>
      <c r="R649" s="153"/>
      <c r="S649" s="153"/>
      <c r="T649" s="153"/>
      <c r="U649" s="153"/>
      <c r="V649" s="153"/>
      <c r="W649" s="153"/>
      <c r="X649" s="153"/>
      <c r="Y649" s="153"/>
      <c r="Z649" s="153"/>
      <c r="AA649" s="153"/>
      <c r="AB649" s="153"/>
    </row>
    <row r="650" spans="1:28" ht="15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/>
      <c r="V650" s="153"/>
      <c r="W650" s="153"/>
      <c r="X650" s="153"/>
      <c r="Y650" s="153"/>
      <c r="Z650" s="153"/>
      <c r="AA650" s="153"/>
      <c r="AB650" s="153"/>
    </row>
    <row r="651" spans="1:28" ht="15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  <c r="M651" s="153"/>
      <c r="N651" s="153"/>
      <c r="O651" s="153"/>
      <c r="P651" s="153"/>
      <c r="Q651" s="153"/>
      <c r="R651" s="153"/>
      <c r="S651" s="153"/>
      <c r="T651" s="153"/>
      <c r="U651" s="153"/>
      <c r="V651" s="153"/>
      <c r="W651" s="153"/>
      <c r="X651" s="153"/>
      <c r="Y651" s="153"/>
      <c r="Z651" s="153"/>
      <c r="AA651" s="153"/>
      <c r="AB651" s="153"/>
    </row>
    <row r="652" spans="1:28" ht="15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/>
      <c r="V652" s="153"/>
      <c r="W652" s="153"/>
      <c r="X652" s="153"/>
      <c r="Y652" s="153"/>
      <c r="Z652" s="153"/>
      <c r="AA652" s="153"/>
      <c r="AB652" s="153"/>
    </row>
    <row r="653" spans="1:28" ht="15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  <c r="M653" s="153"/>
      <c r="N653" s="153"/>
      <c r="O653" s="153"/>
      <c r="P653" s="153"/>
      <c r="Q653" s="153"/>
      <c r="R653" s="153"/>
      <c r="S653" s="153"/>
      <c r="T653" s="153"/>
      <c r="U653" s="153"/>
      <c r="V653" s="153"/>
      <c r="W653" s="153"/>
      <c r="X653" s="153"/>
      <c r="Y653" s="153"/>
      <c r="Z653" s="153"/>
      <c r="AA653" s="153"/>
      <c r="AB653" s="153"/>
    </row>
    <row r="654" spans="1:28" ht="15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/>
      <c r="V654" s="153"/>
      <c r="W654" s="153"/>
      <c r="X654" s="153"/>
      <c r="Y654" s="153"/>
      <c r="Z654" s="153"/>
      <c r="AA654" s="153"/>
      <c r="AB654" s="153"/>
    </row>
    <row r="655" spans="1:28" ht="15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  <c r="M655" s="153"/>
      <c r="N655" s="153"/>
      <c r="O655" s="153"/>
      <c r="P655" s="153"/>
      <c r="Q655" s="153"/>
      <c r="R655" s="153"/>
      <c r="S655" s="153"/>
      <c r="T655" s="153"/>
      <c r="U655" s="153"/>
      <c r="V655" s="153"/>
      <c r="W655" s="153"/>
      <c r="X655" s="153"/>
      <c r="Y655" s="153"/>
      <c r="Z655" s="153"/>
      <c r="AA655" s="153"/>
      <c r="AB655" s="153"/>
    </row>
    <row r="656" spans="1:28" ht="15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/>
      <c r="V656" s="153"/>
      <c r="W656" s="153"/>
      <c r="X656" s="153"/>
      <c r="Y656" s="153"/>
      <c r="Z656" s="153"/>
      <c r="AA656" s="153"/>
      <c r="AB656" s="153"/>
    </row>
    <row r="657" spans="1:28" ht="15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  <c r="N657" s="153"/>
      <c r="O657" s="153"/>
      <c r="P657" s="153"/>
      <c r="Q657" s="153"/>
      <c r="R657" s="153"/>
      <c r="S657" s="153"/>
      <c r="T657" s="153"/>
      <c r="U657" s="153"/>
      <c r="V657" s="153"/>
      <c r="W657" s="153"/>
      <c r="X657" s="153"/>
      <c r="Y657" s="153"/>
      <c r="Z657" s="153"/>
      <c r="AA657" s="153"/>
      <c r="AB657" s="153"/>
    </row>
    <row r="658" spans="1:28" ht="15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/>
      <c r="V658" s="153"/>
      <c r="W658" s="153"/>
      <c r="X658" s="153"/>
      <c r="Y658" s="153"/>
      <c r="Z658" s="153"/>
      <c r="AA658" s="153"/>
      <c r="AB658" s="153"/>
    </row>
    <row r="659" spans="1:28" ht="15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53"/>
      <c r="P659" s="153"/>
      <c r="Q659" s="153"/>
      <c r="R659" s="153"/>
      <c r="S659" s="153"/>
      <c r="T659" s="153"/>
      <c r="U659" s="153"/>
      <c r="V659" s="153"/>
      <c r="W659" s="153"/>
      <c r="X659" s="153"/>
      <c r="Y659" s="153"/>
      <c r="Z659" s="153"/>
      <c r="AA659" s="153"/>
      <c r="AB659" s="153"/>
    </row>
    <row r="660" spans="1:28" ht="15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/>
      <c r="V660" s="153"/>
      <c r="W660" s="153"/>
      <c r="X660" s="153"/>
      <c r="Y660" s="153"/>
      <c r="Z660" s="153"/>
      <c r="AA660" s="153"/>
      <c r="AB660" s="153"/>
    </row>
    <row r="661" spans="1:28" ht="15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  <c r="N661" s="153"/>
      <c r="O661" s="153"/>
      <c r="P661" s="153"/>
      <c r="Q661" s="153"/>
      <c r="R661" s="153"/>
      <c r="S661" s="153"/>
      <c r="T661" s="153"/>
      <c r="U661" s="153"/>
      <c r="V661" s="153"/>
      <c r="W661" s="153"/>
      <c r="X661" s="153"/>
      <c r="Y661" s="153"/>
      <c r="Z661" s="153"/>
      <c r="AA661" s="153"/>
      <c r="AB661" s="153"/>
    </row>
    <row r="662" spans="1:28" ht="15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/>
      <c r="V662" s="153"/>
      <c r="W662" s="153"/>
      <c r="X662" s="153"/>
      <c r="Y662" s="153"/>
      <c r="Z662" s="153"/>
      <c r="AA662" s="153"/>
      <c r="AB662" s="153"/>
    </row>
    <row r="663" spans="1:28" ht="15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  <c r="N663" s="153"/>
      <c r="O663" s="153"/>
      <c r="P663" s="153"/>
      <c r="Q663" s="153"/>
      <c r="R663" s="153"/>
      <c r="S663" s="153"/>
      <c r="T663" s="153"/>
      <c r="U663" s="153"/>
      <c r="V663" s="153"/>
      <c r="W663" s="153"/>
      <c r="X663" s="153"/>
      <c r="Y663" s="153"/>
      <c r="Z663" s="153"/>
      <c r="AA663" s="153"/>
      <c r="AB663" s="153"/>
    </row>
    <row r="664" spans="1:28" ht="15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/>
      <c r="V664" s="153"/>
      <c r="W664" s="153"/>
      <c r="X664" s="153"/>
      <c r="Y664" s="153"/>
      <c r="Z664" s="153"/>
      <c r="AA664" s="153"/>
      <c r="AB664" s="153"/>
    </row>
    <row r="665" spans="1:28" ht="15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  <c r="N665" s="153"/>
      <c r="O665" s="153"/>
      <c r="P665" s="153"/>
      <c r="Q665" s="153"/>
      <c r="R665" s="153"/>
      <c r="S665" s="153"/>
      <c r="T665" s="153"/>
      <c r="U665" s="153"/>
      <c r="V665" s="153"/>
      <c r="W665" s="153"/>
      <c r="X665" s="153"/>
      <c r="Y665" s="153"/>
      <c r="Z665" s="153"/>
      <c r="AA665" s="153"/>
      <c r="AB665" s="153"/>
    </row>
    <row r="666" spans="1:28" ht="15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/>
      <c r="V666" s="153"/>
      <c r="W666" s="153"/>
      <c r="X666" s="153"/>
      <c r="Y666" s="153"/>
      <c r="Z666" s="153"/>
      <c r="AA666" s="153"/>
      <c r="AB666" s="153"/>
    </row>
    <row r="667" spans="1:28" ht="15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  <c r="N667" s="153"/>
      <c r="O667" s="153"/>
      <c r="P667" s="153"/>
      <c r="Q667" s="153"/>
      <c r="R667" s="153"/>
      <c r="S667" s="153"/>
      <c r="T667" s="153"/>
      <c r="U667" s="153"/>
      <c r="V667" s="153"/>
      <c r="W667" s="153"/>
      <c r="X667" s="153"/>
      <c r="Y667" s="153"/>
      <c r="Z667" s="153"/>
      <c r="AA667" s="153"/>
      <c r="AB667" s="153"/>
    </row>
    <row r="668" spans="1:28" ht="15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/>
      <c r="V668" s="153"/>
      <c r="W668" s="153"/>
      <c r="X668" s="153"/>
      <c r="Y668" s="153"/>
      <c r="Z668" s="153"/>
      <c r="AA668" s="153"/>
      <c r="AB668" s="153"/>
    </row>
    <row r="669" spans="1:28" ht="15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  <c r="N669" s="153"/>
      <c r="O669" s="153"/>
      <c r="P669" s="153"/>
      <c r="Q669" s="153"/>
      <c r="R669" s="153"/>
      <c r="S669" s="153"/>
      <c r="T669" s="153"/>
      <c r="U669" s="153"/>
      <c r="V669" s="153"/>
      <c r="W669" s="153"/>
      <c r="X669" s="153"/>
      <c r="Y669" s="153"/>
      <c r="Z669" s="153"/>
      <c r="AA669" s="153"/>
      <c r="AB669" s="153"/>
    </row>
    <row r="670" spans="1:28" ht="15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/>
      <c r="V670" s="153"/>
      <c r="W670" s="153"/>
      <c r="X670" s="153"/>
      <c r="Y670" s="153"/>
      <c r="Z670" s="153"/>
      <c r="AA670" s="153"/>
      <c r="AB670" s="153"/>
    </row>
    <row r="671" spans="1:28" ht="15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  <c r="N671" s="153"/>
      <c r="O671" s="153"/>
      <c r="P671" s="153"/>
      <c r="Q671" s="153"/>
      <c r="R671" s="153"/>
      <c r="S671" s="153"/>
      <c r="T671" s="153"/>
      <c r="U671" s="153"/>
      <c r="V671" s="153"/>
      <c r="W671" s="153"/>
      <c r="X671" s="153"/>
      <c r="Y671" s="153"/>
      <c r="Z671" s="153"/>
      <c r="AA671" s="153"/>
      <c r="AB671" s="153"/>
    </row>
    <row r="672" spans="1:28" ht="15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/>
      <c r="V672" s="153"/>
      <c r="W672" s="153"/>
      <c r="X672" s="153"/>
      <c r="Y672" s="153"/>
      <c r="Z672" s="153"/>
      <c r="AA672" s="153"/>
      <c r="AB672" s="153"/>
    </row>
    <row r="673" spans="1:28" ht="15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  <c r="N673" s="153"/>
      <c r="O673" s="153"/>
      <c r="P673" s="153"/>
      <c r="Q673" s="153"/>
      <c r="R673" s="153"/>
      <c r="S673" s="153"/>
      <c r="T673" s="153"/>
      <c r="U673" s="153"/>
      <c r="V673" s="153"/>
      <c r="W673" s="153"/>
      <c r="X673" s="153"/>
      <c r="Y673" s="153"/>
      <c r="Z673" s="153"/>
      <c r="AA673" s="153"/>
      <c r="AB673" s="153"/>
    </row>
    <row r="674" spans="1:28" ht="15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/>
      <c r="V674" s="153"/>
      <c r="W674" s="153"/>
      <c r="X674" s="153"/>
      <c r="Y674" s="153"/>
      <c r="Z674" s="153"/>
      <c r="AA674" s="153"/>
      <c r="AB674" s="153"/>
    </row>
    <row r="675" spans="1:28" ht="15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  <c r="M675" s="153"/>
      <c r="N675" s="153"/>
      <c r="O675" s="153"/>
      <c r="P675" s="153"/>
      <c r="Q675" s="153"/>
      <c r="R675" s="153"/>
      <c r="S675" s="153"/>
      <c r="T675" s="153"/>
      <c r="U675" s="153"/>
      <c r="V675" s="153"/>
      <c r="W675" s="153"/>
      <c r="X675" s="153"/>
      <c r="Y675" s="153"/>
      <c r="Z675" s="153"/>
      <c r="AA675" s="153"/>
      <c r="AB675" s="153"/>
    </row>
    <row r="676" spans="1:28" ht="15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/>
      <c r="V676" s="153"/>
      <c r="W676" s="153"/>
      <c r="X676" s="153"/>
      <c r="Y676" s="153"/>
      <c r="Z676" s="153"/>
      <c r="AA676" s="153"/>
      <c r="AB676" s="153"/>
    </row>
    <row r="677" spans="1:28" ht="15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  <c r="M677" s="153"/>
      <c r="N677" s="153"/>
      <c r="O677" s="153"/>
      <c r="P677" s="153"/>
      <c r="Q677" s="153"/>
      <c r="R677" s="153"/>
      <c r="S677" s="153"/>
      <c r="T677" s="153"/>
      <c r="U677" s="153"/>
      <c r="V677" s="153"/>
      <c r="W677" s="153"/>
      <c r="X677" s="153"/>
      <c r="Y677" s="153"/>
      <c r="Z677" s="153"/>
      <c r="AA677" s="153"/>
      <c r="AB677" s="153"/>
    </row>
    <row r="678" spans="1:28" ht="15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/>
      <c r="V678" s="153"/>
      <c r="W678" s="153"/>
      <c r="X678" s="153"/>
      <c r="Y678" s="153"/>
      <c r="Z678" s="153"/>
      <c r="AA678" s="153"/>
      <c r="AB678" s="153"/>
    </row>
    <row r="679" spans="1:28" ht="15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153"/>
      <c r="P679" s="153"/>
      <c r="Q679" s="153"/>
      <c r="R679" s="153"/>
      <c r="S679" s="153"/>
      <c r="T679" s="153"/>
      <c r="U679" s="153"/>
      <c r="V679" s="153"/>
      <c r="W679" s="153"/>
      <c r="X679" s="153"/>
      <c r="Y679" s="153"/>
      <c r="Z679" s="153"/>
      <c r="AA679" s="153"/>
      <c r="AB679" s="153"/>
    </row>
    <row r="680" spans="1:28" ht="15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/>
      <c r="V680" s="153"/>
      <c r="W680" s="153"/>
      <c r="X680" s="153"/>
      <c r="Y680" s="153"/>
      <c r="Z680" s="153"/>
      <c r="AA680" s="153"/>
      <c r="AB680" s="153"/>
    </row>
    <row r="681" spans="1:28" ht="15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53"/>
      <c r="P681" s="153"/>
      <c r="Q681" s="153"/>
      <c r="R681" s="153"/>
      <c r="S681" s="153"/>
      <c r="T681" s="153"/>
      <c r="U681" s="153"/>
      <c r="V681" s="153"/>
      <c r="W681" s="153"/>
      <c r="X681" s="153"/>
      <c r="Y681" s="153"/>
      <c r="Z681" s="153"/>
      <c r="AA681" s="153"/>
      <c r="AB681" s="153"/>
    </row>
    <row r="682" spans="1:28" ht="15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/>
      <c r="V682" s="153"/>
      <c r="W682" s="153"/>
      <c r="X682" s="153"/>
      <c r="Y682" s="153"/>
      <c r="Z682" s="153"/>
      <c r="AA682" s="153"/>
      <c r="AB682" s="153"/>
    </row>
    <row r="683" spans="1:28" ht="15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153"/>
      <c r="P683" s="153"/>
      <c r="Q683" s="153"/>
      <c r="R683" s="153"/>
      <c r="S683" s="153"/>
      <c r="T683" s="153"/>
      <c r="U683" s="153"/>
      <c r="V683" s="153"/>
      <c r="W683" s="153"/>
      <c r="X683" s="153"/>
      <c r="Y683" s="153"/>
      <c r="Z683" s="153"/>
      <c r="AA683" s="153"/>
      <c r="AB683" s="153"/>
    </row>
    <row r="684" spans="1:28" ht="15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/>
      <c r="V684" s="153"/>
      <c r="W684" s="153"/>
      <c r="X684" s="153"/>
      <c r="Y684" s="153"/>
      <c r="Z684" s="153"/>
      <c r="AA684" s="153"/>
      <c r="AB684" s="153"/>
    </row>
    <row r="685" spans="1:28" ht="15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153"/>
      <c r="P685" s="153"/>
      <c r="Q685" s="153"/>
      <c r="R685" s="153"/>
      <c r="S685" s="153"/>
      <c r="T685" s="153"/>
      <c r="U685" s="153"/>
      <c r="V685" s="153"/>
      <c r="W685" s="153"/>
      <c r="X685" s="153"/>
      <c r="Y685" s="153"/>
      <c r="Z685" s="153"/>
      <c r="AA685" s="153"/>
      <c r="AB685" s="153"/>
    </row>
    <row r="686" spans="1:28" ht="15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/>
      <c r="V686" s="153"/>
      <c r="W686" s="153"/>
      <c r="X686" s="153"/>
      <c r="Y686" s="153"/>
      <c r="Z686" s="153"/>
      <c r="AA686" s="153"/>
      <c r="AB686" s="153"/>
    </row>
    <row r="687" spans="1:28" ht="15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  <c r="M687" s="153"/>
      <c r="N687" s="153"/>
      <c r="O687" s="153"/>
      <c r="P687" s="153"/>
      <c r="Q687" s="153"/>
      <c r="R687" s="153"/>
      <c r="S687" s="153"/>
      <c r="T687" s="153"/>
      <c r="U687" s="153"/>
      <c r="V687" s="153"/>
      <c r="W687" s="153"/>
      <c r="X687" s="153"/>
      <c r="Y687" s="153"/>
      <c r="Z687" s="153"/>
      <c r="AA687" s="153"/>
      <c r="AB687" s="153"/>
    </row>
    <row r="688" spans="1:28" ht="15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/>
      <c r="V688" s="153"/>
      <c r="W688" s="153"/>
      <c r="X688" s="153"/>
      <c r="Y688" s="153"/>
      <c r="Z688" s="153"/>
      <c r="AA688" s="153"/>
      <c r="AB688" s="153"/>
    </row>
    <row r="689" spans="1:28" ht="15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  <c r="N689" s="153"/>
      <c r="O689" s="153"/>
      <c r="P689" s="153"/>
      <c r="Q689" s="153"/>
      <c r="R689" s="153"/>
      <c r="S689" s="153"/>
      <c r="T689" s="153"/>
      <c r="U689" s="153"/>
      <c r="V689" s="153"/>
      <c r="W689" s="153"/>
      <c r="X689" s="153"/>
      <c r="Y689" s="153"/>
      <c r="Z689" s="153"/>
      <c r="AA689" s="153"/>
      <c r="AB689" s="153"/>
    </row>
    <row r="690" spans="1:28" ht="15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/>
      <c r="V690" s="153"/>
      <c r="W690" s="153"/>
      <c r="X690" s="153"/>
      <c r="Y690" s="153"/>
      <c r="Z690" s="153"/>
      <c r="AA690" s="153"/>
      <c r="AB690" s="153"/>
    </row>
    <row r="691" spans="1:28" ht="15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  <c r="N691" s="153"/>
      <c r="O691" s="153"/>
      <c r="P691" s="153"/>
      <c r="Q691" s="153"/>
      <c r="R691" s="153"/>
      <c r="S691" s="153"/>
      <c r="T691" s="153"/>
      <c r="U691" s="153"/>
      <c r="V691" s="153"/>
      <c r="W691" s="153"/>
      <c r="X691" s="153"/>
      <c r="Y691" s="153"/>
      <c r="Z691" s="153"/>
      <c r="AA691" s="153"/>
      <c r="AB691" s="153"/>
    </row>
    <row r="692" spans="1:28" ht="15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/>
      <c r="V692" s="153"/>
      <c r="W692" s="153"/>
      <c r="X692" s="153"/>
      <c r="Y692" s="153"/>
      <c r="Z692" s="153"/>
      <c r="AA692" s="153"/>
      <c r="AB692" s="153"/>
    </row>
    <row r="693" spans="1:28" ht="15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3"/>
      <c r="P693" s="153"/>
      <c r="Q693" s="153"/>
      <c r="R693" s="153"/>
      <c r="S693" s="153"/>
      <c r="T693" s="153"/>
      <c r="U693" s="153"/>
      <c r="V693" s="153"/>
      <c r="W693" s="153"/>
      <c r="X693" s="153"/>
      <c r="Y693" s="153"/>
      <c r="Z693" s="153"/>
      <c r="AA693" s="153"/>
      <c r="AB693" s="153"/>
    </row>
    <row r="694" spans="1:28" ht="15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/>
      <c r="V694" s="153"/>
      <c r="W694" s="153"/>
      <c r="X694" s="153"/>
      <c r="Y694" s="153"/>
      <c r="Z694" s="153"/>
      <c r="AA694" s="153"/>
      <c r="AB694" s="153"/>
    </row>
    <row r="695" spans="1:28" ht="15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153"/>
      <c r="P695" s="153"/>
      <c r="Q695" s="153"/>
      <c r="R695" s="153"/>
      <c r="S695" s="153"/>
      <c r="T695" s="153"/>
      <c r="U695" s="153"/>
      <c r="V695" s="153"/>
      <c r="W695" s="153"/>
      <c r="X695" s="153"/>
      <c r="Y695" s="153"/>
      <c r="Z695" s="153"/>
      <c r="AA695" s="153"/>
      <c r="AB695" s="153"/>
    </row>
    <row r="696" spans="1:28" ht="15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/>
      <c r="V696" s="153"/>
      <c r="W696" s="153"/>
      <c r="X696" s="153"/>
      <c r="Y696" s="153"/>
      <c r="Z696" s="153"/>
      <c r="AA696" s="153"/>
      <c r="AB696" s="153"/>
    </row>
    <row r="697" spans="1:28" ht="15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53"/>
      <c r="P697" s="153"/>
      <c r="Q697" s="153"/>
      <c r="R697" s="153"/>
      <c r="S697" s="153"/>
      <c r="T697" s="153"/>
      <c r="U697" s="153"/>
      <c r="V697" s="153"/>
      <c r="W697" s="153"/>
      <c r="X697" s="153"/>
      <c r="Y697" s="153"/>
      <c r="Z697" s="153"/>
      <c r="AA697" s="153"/>
      <c r="AB697" s="153"/>
    </row>
    <row r="698" spans="1:28" ht="15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/>
      <c r="V698" s="153"/>
      <c r="W698" s="153"/>
      <c r="X698" s="153"/>
      <c r="Y698" s="153"/>
      <c r="Z698" s="153"/>
      <c r="AA698" s="153"/>
      <c r="AB698" s="153"/>
    </row>
    <row r="699" spans="1:28" ht="15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53"/>
      <c r="P699" s="153"/>
      <c r="Q699" s="153"/>
      <c r="R699" s="153"/>
      <c r="S699" s="153"/>
      <c r="T699" s="153"/>
      <c r="U699" s="153"/>
      <c r="V699" s="153"/>
      <c r="W699" s="153"/>
      <c r="X699" s="153"/>
      <c r="Y699" s="153"/>
      <c r="Z699" s="153"/>
      <c r="AA699" s="153"/>
      <c r="AB699" s="153"/>
    </row>
    <row r="700" spans="1:28" ht="15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/>
      <c r="V700" s="153"/>
      <c r="W700" s="153"/>
      <c r="X700" s="153"/>
      <c r="Y700" s="153"/>
      <c r="Z700" s="153"/>
      <c r="AA700" s="153"/>
      <c r="AB700" s="153"/>
    </row>
    <row r="701" spans="1:28" ht="15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153"/>
      <c r="P701" s="153"/>
      <c r="Q701" s="153"/>
      <c r="R701" s="153"/>
      <c r="S701" s="153"/>
      <c r="T701" s="153"/>
      <c r="U701" s="153"/>
      <c r="V701" s="153"/>
      <c r="W701" s="153"/>
      <c r="X701" s="153"/>
      <c r="Y701" s="153"/>
      <c r="Z701" s="153"/>
      <c r="AA701" s="153"/>
      <c r="AB701" s="153"/>
    </row>
    <row r="702" spans="1:28" ht="15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/>
      <c r="V702" s="153"/>
      <c r="W702" s="153"/>
      <c r="X702" s="153"/>
      <c r="Y702" s="153"/>
      <c r="Z702" s="153"/>
      <c r="AA702" s="153"/>
      <c r="AB702" s="153"/>
    </row>
    <row r="703" spans="1:28" ht="15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  <c r="M703" s="153"/>
      <c r="N703" s="153"/>
      <c r="O703" s="153"/>
      <c r="P703" s="153"/>
      <c r="Q703" s="153"/>
      <c r="R703" s="153"/>
      <c r="S703" s="153"/>
      <c r="T703" s="153"/>
      <c r="U703" s="153"/>
      <c r="V703" s="153"/>
      <c r="W703" s="153"/>
      <c r="X703" s="153"/>
      <c r="Y703" s="153"/>
      <c r="Z703" s="153"/>
      <c r="AA703" s="153"/>
      <c r="AB703" s="153"/>
    </row>
    <row r="704" spans="1:28" ht="15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/>
      <c r="V704" s="153"/>
      <c r="W704" s="153"/>
      <c r="X704" s="153"/>
      <c r="Y704" s="153"/>
      <c r="Z704" s="153"/>
      <c r="AA704" s="153"/>
      <c r="AB704" s="153"/>
    </row>
    <row r="705" spans="1:28" ht="15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  <c r="M705" s="153"/>
      <c r="N705" s="153"/>
      <c r="O705" s="153"/>
      <c r="P705" s="153"/>
      <c r="Q705" s="153"/>
      <c r="R705" s="153"/>
      <c r="S705" s="153"/>
      <c r="T705" s="153"/>
      <c r="U705" s="153"/>
      <c r="V705" s="153"/>
      <c r="W705" s="153"/>
      <c r="X705" s="153"/>
      <c r="Y705" s="153"/>
      <c r="Z705" s="153"/>
      <c r="AA705" s="153"/>
      <c r="AB705" s="153"/>
    </row>
    <row r="706" spans="1:28" ht="15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/>
      <c r="V706" s="153"/>
      <c r="W706" s="153"/>
      <c r="X706" s="153"/>
      <c r="Y706" s="153"/>
      <c r="Z706" s="153"/>
      <c r="AA706" s="153"/>
      <c r="AB706" s="153"/>
    </row>
    <row r="707" spans="1:28" ht="15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  <c r="M707" s="153"/>
      <c r="N707" s="153"/>
      <c r="O707" s="153"/>
      <c r="P707" s="153"/>
      <c r="Q707" s="153"/>
      <c r="R707" s="153"/>
      <c r="S707" s="153"/>
      <c r="T707" s="153"/>
      <c r="U707" s="153"/>
      <c r="V707" s="153"/>
      <c r="W707" s="153"/>
      <c r="X707" s="153"/>
      <c r="Y707" s="153"/>
      <c r="Z707" s="153"/>
      <c r="AA707" s="153"/>
      <c r="AB707" s="153"/>
    </row>
    <row r="708" spans="1:28" ht="15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/>
      <c r="V708" s="153"/>
      <c r="W708" s="153"/>
      <c r="X708" s="153"/>
      <c r="Y708" s="153"/>
      <c r="Z708" s="153"/>
      <c r="AA708" s="153"/>
      <c r="AB708" s="153"/>
    </row>
    <row r="709" spans="1:28" ht="15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  <c r="M709" s="153"/>
      <c r="N709" s="153"/>
      <c r="O709" s="153"/>
      <c r="P709" s="153"/>
      <c r="Q709" s="153"/>
      <c r="R709" s="153"/>
      <c r="S709" s="153"/>
      <c r="T709" s="153"/>
      <c r="U709" s="153"/>
      <c r="V709" s="153"/>
      <c r="W709" s="153"/>
      <c r="X709" s="153"/>
      <c r="Y709" s="153"/>
      <c r="Z709" s="153"/>
      <c r="AA709" s="153"/>
      <c r="AB709" s="153"/>
    </row>
    <row r="710" spans="1:28" ht="15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/>
      <c r="V710" s="153"/>
      <c r="W710" s="153"/>
      <c r="X710" s="153"/>
      <c r="Y710" s="153"/>
      <c r="Z710" s="153"/>
      <c r="AA710" s="153"/>
      <c r="AB710" s="153"/>
    </row>
    <row r="711" spans="1:28" ht="15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  <c r="N711" s="153"/>
      <c r="O711" s="153"/>
      <c r="P711" s="153"/>
      <c r="Q711" s="153"/>
      <c r="R711" s="153"/>
      <c r="S711" s="153"/>
      <c r="T711" s="153"/>
      <c r="U711" s="153"/>
      <c r="V711" s="153"/>
      <c r="W711" s="153"/>
      <c r="X711" s="153"/>
      <c r="Y711" s="153"/>
      <c r="Z711" s="153"/>
      <c r="AA711" s="153"/>
      <c r="AB711" s="153"/>
    </row>
    <row r="712" spans="1:28" ht="15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/>
      <c r="V712" s="153"/>
      <c r="W712" s="153"/>
      <c r="X712" s="153"/>
      <c r="Y712" s="153"/>
      <c r="Z712" s="153"/>
      <c r="AA712" s="153"/>
      <c r="AB712" s="153"/>
    </row>
    <row r="713" spans="1:28" ht="15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53"/>
      <c r="P713" s="153"/>
      <c r="Q713" s="153"/>
      <c r="R713" s="153"/>
      <c r="S713" s="153"/>
      <c r="T713" s="153"/>
      <c r="U713" s="153"/>
      <c r="V713" s="153"/>
      <c r="W713" s="153"/>
      <c r="X713" s="153"/>
      <c r="Y713" s="153"/>
      <c r="Z713" s="153"/>
      <c r="AA713" s="153"/>
      <c r="AB713" s="153"/>
    </row>
    <row r="714" spans="1:28" ht="15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/>
      <c r="V714" s="153"/>
      <c r="W714" s="153"/>
      <c r="X714" s="153"/>
      <c r="Y714" s="153"/>
      <c r="Z714" s="153"/>
      <c r="AA714" s="153"/>
      <c r="AB714" s="153"/>
    </row>
    <row r="715" spans="1:28" ht="15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  <c r="N715" s="153"/>
      <c r="O715" s="153"/>
      <c r="P715" s="153"/>
      <c r="Q715" s="153"/>
      <c r="R715" s="153"/>
      <c r="S715" s="153"/>
      <c r="T715" s="153"/>
      <c r="U715" s="153"/>
      <c r="V715" s="153"/>
      <c r="W715" s="153"/>
      <c r="X715" s="153"/>
      <c r="Y715" s="153"/>
      <c r="Z715" s="153"/>
      <c r="AA715" s="153"/>
      <c r="AB715" s="153"/>
    </row>
    <row r="716" spans="1:28" ht="15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/>
      <c r="V716" s="153"/>
      <c r="W716" s="153"/>
      <c r="X716" s="153"/>
      <c r="Y716" s="153"/>
      <c r="Z716" s="153"/>
      <c r="AA716" s="153"/>
      <c r="AB716" s="153"/>
    </row>
    <row r="717" spans="1:28" ht="15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  <c r="N717" s="153"/>
      <c r="O717" s="153"/>
      <c r="P717" s="153"/>
      <c r="Q717" s="153"/>
      <c r="R717" s="153"/>
      <c r="S717" s="153"/>
      <c r="T717" s="153"/>
      <c r="U717" s="153"/>
      <c r="V717" s="153"/>
      <c r="W717" s="153"/>
      <c r="X717" s="153"/>
      <c r="Y717" s="153"/>
      <c r="Z717" s="153"/>
      <c r="AA717" s="153"/>
      <c r="AB717" s="153"/>
    </row>
    <row r="718" spans="1:28" ht="15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/>
      <c r="V718" s="153"/>
      <c r="W718" s="153"/>
      <c r="X718" s="153"/>
      <c r="Y718" s="153"/>
      <c r="Z718" s="153"/>
      <c r="AA718" s="153"/>
      <c r="AB718" s="153"/>
    </row>
    <row r="719" spans="1:28" ht="15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  <c r="M719" s="153"/>
      <c r="N719" s="153"/>
      <c r="O719" s="153"/>
      <c r="P719" s="153"/>
      <c r="Q719" s="153"/>
      <c r="R719" s="153"/>
      <c r="S719" s="153"/>
      <c r="T719" s="153"/>
      <c r="U719" s="153"/>
      <c r="V719" s="153"/>
      <c r="W719" s="153"/>
      <c r="X719" s="153"/>
      <c r="Y719" s="153"/>
      <c r="Z719" s="153"/>
      <c r="AA719" s="153"/>
      <c r="AB719" s="153"/>
    </row>
    <row r="720" spans="1:28" ht="15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/>
      <c r="V720" s="153"/>
      <c r="W720" s="153"/>
      <c r="X720" s="153"/>
      <c r="Y720" s="153"/>
      <c r="Z720" s="153"/>
      <c r="AA720" s="153"/>
      <c r="AB720" s="153"/>
    </row>
    <row r="721" spans="1:28" ht="15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  <c r="M721" s="153"/>
      <c r="N721" s="153"/>
      <c r="O721" s="153"/>
      <c r="P721" s="153"/>
      <c r="Q721" s="153"/>
      <c r="R721" s="153"/>
      <c r="S721" s="153"/>
      <c r="T721" s="153"/>
      <c r="U721" s="153"/>
      <c r="V721" s="153"/>
      <c r="W721" s="153"/>
      <c r="X721" s="153"/>
      <c r="Y721" s="153"/>
      <c r="Z721" s="153"/>
      <c r="AA721" s="153"/>
      <c r="AB721" s="153"/>
    </row>
    <row r="722" spans="1:28" ht="15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/>
      <c r="V722" s="153"/>
      <c r="W722" s="153"/>
      <c r="X722" s="153"/>
      <c r="Y722" s="153"/>
      <c r="Z722" s="153"/>
      <c r="AA722" s="153"/>
      <c r="AB722" s="153"/>
    </row>
    <row r="723" spans="1:28" ht="15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  <c r="M723" s="153"/>
      <c r="N723" s="153"/>
      <c r="O723" s="153"/>
      <c r="P723" s="153"/>
      <c r="Q723" s="153"/>
      <c r="R723" s="153"/>
      <c r="S723" s="153"/>
      <c r="T723" s="153"/>
      <c r="U723" s="153"/>
      <c r="V723" s="153"/>
      <c r="W723" s="153"/>
      <c r="X723" s="153"/>
      <c r="Y723" s="153"/>
      <c r="Z723" s="153"/>
      <c r="AA723" s="153"/>
      <c r="AB723" s="153"/>
    </row>
    <row r="724" spans="1:28" ht="15">
      <c r="A724" s="153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/>
      <c r="V724" s="153"/>
      <c r="W724" s="153"/>
      <c r="X724" s="153"/>
      <c r="Y724" s="153"/>
      <c r="Z724" s="153"/>
      <c r="AA724" s="153"/>
      <c r="AB724" s="153"/>
    </row>
    <row r="725" spans="1:28" ht="15">
      <c r="A725" s="153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  <c r="M725" s="153"/>
      <c r="N725" s="153"/>
      <c r="O725" s="153"/>
      <c r="P725" s="153"/>
      <c r="Q725" s="153"/>
      <c r="R725" s="153"/>
      <c r="S725" s="153"/>
      <c r="T725" s="153"/>
      <c r="U725" s="153"/>
      <c r="V725" s="153"/>
      <c r="W725" s="153"/>
      <c r="X725" s="153"/>
      <c r="Y725" s="153"/>
      <c r="Z725" s="153"/>
      <c r="AA725" s="153"/>
      <c r="AB725" s="153"/>
    </row>
    <row r="726" spans="1:28" ht="15">
      <c r="A726" s="153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/>
      <c r="V726" s="153"/>
      <c r="W726" s="153"/>
      <c r="X726" s="153"/>
      <c r="Y726" s="153"/>
      <c r="Z726" s="153"/>
      <c r="AA726" s="153"/>
      <c r="AB726" s="153"/>
    </row>
    <row r="727" spans="1:28" ht="15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  <c r="M727" s="153"/>
      <c r="N727" s="153"/>
      <c r="O727" s="153"/>
      <c r="P727" s="153"/>
      <c r="Q727" s="153"/>
      <c r="R727" s="153"/>
      <c r="S727" s="153"/>
      <c r="T727" s="153"/>
      <c r="U727" s="153"/>
      <c r="V727" s="153"/>
      <c r="W727" s="153"/>
      <c r="X727" s="153"/>
      <c r="Y727" s="153"/>
      <c r="Z727" s="153"/>
      <c r="AA727" s="153"/>
      <c r="AB727" s="153"/>
    </row>
    <row r="728" spans="1:28" ht="15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/>
      <c r="V728" s="153"/>
      <c r="W728" s="153"/>
      <c r="X728" s="153"/>
      <c r="Y728" s="153"/>
      <c r="Z728" s="153"/>
      <c r="AA728" s="153"/>
      <c r="AB728" s="153"/>
    </row>
    <row r="729" spans="1:28" ht="15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  <c r="M729" s="153"/>
      <c r="N729" s="153"/>
      <c r="O729" s="153"/>
      <c r="P729" s="153"/>
      <c r="Q729" s="153"/>
      <c r="R729" s="153"/>
      <c r="S729" s="153"/>
      <c r="T729" s="153"/>
      <c r="U729" s="153"/>
      <c r="V729" s="153"/>
      <c r="W729" s="153"/>
      <c r="X729" s="153"/>
      <c r="Y729" s="153"/>
      <c r="Z729" s="153"/>
      <c r="AA729" s="153"/>
      <c r="AB729" s="153"/>
    </row>
    <row r="730" spans="1:28" ht="15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/>
      <c r="V730" s="153"/>
      <c r="W730" s="153"/>
      <c r="X730" s="153"/>
      <c r="Y730" s="153"/>
      <c r="Z730" s="153"/>
      <c r="AA730" s="153"/>
      <c r="AB730" s="153"/>
    </row>
    <row r="731" spans="1:28" ht="15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  <c r="N731" s="153"/>
      <c r="O731" s="153"/>
      <c r="P731" s="153"/>
      <c r="Q731" s="153"/>
      <c r="R731" s="153"/>
      <c r="S731" s="153"/>
      <c r="T731" s="153"/>
      <c r="U731" s="153"/>
      <c r="V731" s="153"/>
      <c r="W731" s="153"/>
      <c r="X731" s="153"/>
      <c r="Y731" s="153"/>
      <c r="Z731" s="153"/>
      <c r="AA731" s="153"/>
      <c r="AB731" s="153"/>
    </row>
    <row r="732" spans="1:28" ht="15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  <c r="Z732" s="153"/>
      <c r="AA732" s="153"/>
      <c r="AB732" s="153"/>
    </row>
    <row r="733" spans="1:28" ht="15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  <c r="AA733" s="153"/>
      <c r="AB733" s="153"/>
    </row>
    <row r="734" spans="1:28" ht="15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  <c r="Z734" s="153"/>
      <c r="AA734" s="153"/>
      <c r="AB734" s="153"/>
    </row>
    <row r="735" spans="1:28" ht="15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  <c r="AA735" s="153"/>
      <c r="AB735" s="153"/>
    </row>
    <row r="736" spans="1:28" ht="15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  <c r="Z736" s="153"/>
      <c r="AA736" s="153"/>
      <c r="AB736" s="153"/>
    </row>
    <row r="737" spans="1:28" ht="15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  <c r="Z737" s="153"/>
      <c r="AA737" s="153"/>
      <c r="AB737" s="153"/>
    </row>
    <row r="738" spans="1:28" ht="15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  <c r="Z738" s="153"/>
      <c r="AA738" s="153"/>
      <c r="AB738" s="153"/>
    </row>
    <row r="739" spans="1:28" ht="15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3"/>
      <c r="Q739" s="153"/>
      <c r="R739" s="153"/>
      <c r="S739" s="153"/>
      <c r="T739" s="153"/>
      <c r="U739" s="153"/>
      <c r="V739" s="153"/>
      <c r="W739" s="153"/>
      <c r="X739" s="153"/>
      <c r="Y739" s="153"/>
      <c r="Z739" s="153"/>
      <c r="AA739" s="153"/>
      <c r="AB739" s="153"/>
    </row>
    <row r="740" spans="1:28" ht="15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/>
      <c r="V740" s="153"/>
      <c r="W740" s="153"/>
      <c r="X740" s="153"/>
      <c r="Y740" s="153"/>
      <c r="Z740" s="153"/>
      <c r="AA740" s="153"/>
      <c r="AB740" s="153"/>
    </row>
    <row r="741" spans="1:28" ht="15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3"/>
      <c r="Q741" s="153"/>
      <c r="R741" s="153"/>
      <c r="S741" s="153"/>
      <c r="T741" s="153"/>
      <c r="U741" s="153"/>
      <c r="V741" s="153"/>
      <c r="W741" s="153"/>
      <c r="X741" s="153"/>
      <c r="Y741" s="153"/>
      <c r="Z741" s="153"/>
      <c r="AA741" s="153"/>
      <c r="AB741" s="153"/>
    </row>
    <row r="742" spans="1:28" ht="15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/>
      <c r="V742" s="153"/>
      <c r="W742" s="153"/>
      <c r="X742" s="153"/>
      <c r="Y742" s="153"/>
      <c r="Z742" s="153"/>
      <c r="AA742" s="153"/>
      <c r="AB742" s="153"/>
    </row>
    <row r="743" spans="1:28" ht="15">
      <c r="A743" s="153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  <c r="V743" s="153"/>
      <c r="W743" s="153"/>
      <c r="X743" s="153"/>
      <c r="Y743" s="153"/>
      <c r="Z743" s="153"/>
      <c r="AA743" s="153"/>
      <c r="AB743" s="153"/>
    </row>
    <row r="744" spans="1:28" ht="15">
      <c r="A744" s="153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/>
      <c r="V744" s="153"/>
      <c r="W744" s="153"/>
      <c r="X744" s="153"/>
      <c r="Y744" s="153"/>
      <c r="Z744" s="153"/>
      <c r="AA744" s="153"/>
      <c r="AB744" s="153"/>
    </row>
    <row r="745" spans="1:28" ht="15">
      <c r="A745" s="153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3"/>
      <c r="Q745" s="153"/>
      <c r="R745" s="153"/>
      <c r="S745" s="153"/>
      <c r="T745" s="153"/>
      <c r="U745" s="153"/>
      <c r="V745" s="153"/>
      <c r="W745" s="153"/>
      <c r="X745" s="153"/>
      <c r="Y745" s="153"/>
      <c r="Z745" s="153"/>
      <c r="AA745" s="153"/>
      <c r="AB745" s="153"/>
    </row>
    <row r="746" spans="1:28" ht="15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/>
      <c r="V746" s="153"/>
      <c r="W746" s="153"/>
      <c r="X746" s="153"/>
      <c r="Y746" s="153"/>
      <c r="Z746" s="153"/>
      <c r="AA746" s="153"/>
      <c r="AB746" s="153"/>
    </row>
    <row r="747" spans="1:28" ht="15">
      <c r="A747" s="153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3"/>
      <c r="Q747" s="153"/>
      <c r="R747" s="153"/>
      <c r="S747" s="153"/>
      <c r="T747" s="153"/>
      <c r="U747" s="153"/>
      <c r="V747" s="153"/>
      <c r="W747" s="153"/>
      <c r="X747" s="153"/>
      <c r="Y747" s="153"/>
      <c r="Z747" s="153"/>
      <c r="AA747" s="153"/>
      <c r="AB747" s="153"/>
    </row>
    <row r="748" spans="1:28" ht="15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/>
      <c r="V748" s="153"/>
      <c r="W748" s="153"/>
      <c r="X748" s="153"/>
      <c r="Y748" s="153"/>
      <c r="Z748" s="153"/>
      <c r="AA748" s="153"/>
      <c r="AB748" s="153"/>
    </row>
    <row r="749" spans="1:28" ht="15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3"/>
      <c r="Q749" s="153"/>
      <c r="R749" s="153"/>
      <c r="S749" s="153"/>
      <c r="T749" s="153"/>
      <c r="U749" s="153"/>
      <c r="V749" s="153"/>
      <c r="W749" s="153"/>
      <c r="X749" s="153"/>
      <c r="Y749" s="153"/>
      <c r="Z749" s="153"/>
      <c r="AA749" s="153"/>
      <c r="AB749" s="153"/>
    </row>
    <row r="750" spans="1:28" ht="15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/>
      <c r="V750" s="153"/>
      <c r="W750" s="153"/>
      <c r="X750" s="153"/>
      <c r="Y750" s="153"/>
      <c r="Z750" s="153"/>
      <c r="AA750" s="153"/>
      <c r="AB750" s="153"/>
    </row>
    <row r="751" spans="1:28" ht="15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3"/>
      <c r="Q751" s="153"/>
      <c r="R751" s="153"/>
      <c r="S751" s="153"/>
      <c r="T751" s="153"/>
      <c r="U751" s="153"/>
      <c r="V751" s="153"/>
      <c r="W751" s="153"/>
      <c r="X751" s="153"/>
      <c r="Y751" s="153"/>
      <c r="Z751" s="153"/>
      <c r="AA751" s="153"/>
      <c r="AB751" s="153"/>
    </row>
    <row r="752" spans="1:28" ht="15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/>
      <c r="V752" s="153"/>
      <c r="W752" s="153"/>
      <c r="X752" s="153"/>
      <c r="Y752" s="153"/>
      <c r="Z752" s="153"/>
      <c r="AA752" s="153"/>
      <c r="AB752" s="153"/>
    </row>
    <row r="753" spans="1:28" ht="15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3"/>
      <c r="Q753" s="153"/>
      <c r="R753" s="153"/>
      <c r="S753" s="153"/>
      <c r="T753" s="153"/>
      <c r="U753" s="153"/>
      <c r="V753" s="153"/>
      <c r="W753" s="153"/>
      <c r="X753" s="153"/>
      <c r="Y753" s="153"/>
      <c r="Z753" s="153"/>
      <c r="AA753" s="153"/>
      <c r="AB753" s="153"/>
    </row>
    <row r="754" spans="1:28" ht="15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/>
      <c r="V754" s="153"/>
      <c r="W754" s="153"/>
      <c r="X754" s="153"/>
      <c r="Y754" s="153"/>
      <c r="Z754" s="153"/>
      <c r="AA754" s="153"/>
      <c r="AB754" s="153"/>
    </row>
    <row r="755" spans="1:28" ht="15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3"/>
      <c r="Q755" s="153"/>
      <c r="R755" s="153"/>
      <c r="S755" s="153"/>
      <c r="T755" s="153"/>
      <c r="U755" s="153"/>
      <c r="V755" s="153"/>
      <c r="W755" s="153"/>
      <c r="X755" s="153"/>
      <c r="Y755" s="153"/>
      <c r="Z755" s="153"/>
      <c r="AA755" s="153"/>
      <c r="AB755" s="153"/>
    </row>
    <row r="756" spans="1:28" ht="15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/>
      <c r="V756" s="153"/>
      <c r="W756" s="153"/>
      <c r="X756" s="153"/>
      <c r="Y756" s="153"/>
      <c r="Z756" s="153"/>
      <c r="AA756" s="153"/>
      <c r="AB756" s="153"/>
    </row>
    <row r="757" spans="1:28" ht="15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3"/>
      <c r="Q757" s="153"/>
      <c r="R757" s="153"/>
      <c r="S757" s="153"/>
      <c r="T757" s="153"/>
      <c r="U757" s="153"/>
      <c r="V757" s="153"/>
      <c r="W757" s="153"/>
      <c r="X757" s="153"/>
      <c r="Y757" s="153"/>
      <c r="Z757" s="153"/>
      <c r="AA757" s="153"/>
      <c r="AB757" s="153"/>
    </row>
    <row r="758" spans="1:28" ht="15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/>
      <c r="V758" s="153"/>
      <c r="W758" s="153"/>
      <c r="X758" s="153"/>
      <c r="Y758" s="153"/>
      <c r="Z758" s="153"/>
      <c r="AA758" s="153"/>
      <c r="AB758" s="153"/>
    </row>
    <row r="759" spans="1:28" ht="15">
      <c r="A759" s="153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3"/>
      <c r="Q759" s="153"/>
      <c r="R759" s="153"/>
      <c r="S759" s="153"/>
      <c r="T759" s="153"/>
      <c r="U759" s="153"/>
      <c r="V759" s="153"/>
      <c r="W759" s="153"/>
      <c r="X759" s="153"/>
      <c r="Y759" s="153"/>
      <c r="Z759" s="153"/>
      <c r="AA759" s="153"/>
      <c r="AB759" s="153"/>
    </row>
    <row r="760" spans="1:28" ht="15">
      <c r="A760" s="153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/>
      <c r="V760" s="153"/>
      <c r="W760" s="153"/>
      <c r="X760" s="153"/>
      <c r="Y760" s="153"/>
      <c r="Z760" s="153"/>
      <c r="AA760" s="153"/>
      <c r="AB760" s="153"/>
    </row>
    <row r="761" spans="1:28" ht="15">
      <c r="A761" s="153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  <c r="N761" s="153"/>
      <c r="O761" s="153"/>
      <c r="P761" s="153"/>
      <c r="Q761" s="153"/>
      <c r="R761" s="153"/>
      <c r="S761" s="153"/>
      <c r="T761" s="153"/>
      <c r="U761" s="153"/>
      <c r="V761" s="153"/>
      <c r="W761" s="153"/>
      <c r="X761" s="153"/>
      <c r="Y761" s="153"/>
      <c r="Z761" s="153"/>
      <c r="AA761" s="153"/>
      <c r="AB761" s="153"/>
    </row>
    <row r="762" spans="1:28" ht="15">
      <c r="A762" s="153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/>
      <c r="V762" s="153"/>
      <c r="W762" s="153"/>
      <c r="X762" s="153"/>
      <c r="Y762" s="153"/>
      <c r="Z762" s="153"/>
      <c r="AA762" s="153"/>
      <c r="AB762" s="153"/>
    </row>
    <row r="763" spans="1:28" ht="15">
      <c r="A763" s="153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  <c r="N763" s="153"/>
      <c r="O763" s="153"/>
      <c r="P763" s="153"/>
      <c r="Q763" s="153"/>
      <c r="R763" s="153"/>
      <c r="S763" s="153"/>
      <c r="T763" s="153"/>
      <c r="U763" s="153"/>
      <c r="V763" s="153"/>
      <c r="W763" s="153"/>
      <c r="X763" s="153"/>
      <c r="Y763" s="153"/>
      <c r="Z763" s="153"/>
      <c r="AA763" s="153"/>
      <c r="AB763" s="153"/>
    </row>
    <row r="764" spans="1:28" ht="15">
      <c r="A764" s="153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/>
      <c r="V764" s="153"/>
      <c r="W764" s="153"/>
      <c r="X764" s="153"/>
      <c r="Y764" s="153"/>
      <c r="Z764" s="153"/>
      <c r="AA764" s="153"/>
      <c r="AB764" s="153"/>
    </row>
    <row r="765" spans="1:28" ht="15">
      <c r="A765" s="153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  <c r="N765" s="153"/>
      <c r="O765" s="153"/>
      <c r="P765" s="153"/>
      <c r="Q765" s="153"/>
      <c r="R765" s="153"/>
      <c r="S765" s="153"/>
      <c r="T765" s="153"/>
      <c r="U765" s="153"/>
      <c r="V765" s="153"/>
      <c r="W765" s="153"/>
      <c r="X765" s="153"/>
      <c r="Y765" s="153"/>
      <c r="Z765" s="153"/>
      <c r="AA765" s="153"/>
      <c r="AB765" s="153"/>
    </row>
    <row r="766" spans="1:28" ht="15">
      <c r="A766" s="153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/>
      <c r="V766" s="153"/>
      <c r="W766" s="153"/>
      <c r="X766" s="153"/>
      <c r="Y766" s="153"/>
      <c r="Z766" s="153"/>
      <c r="AA766" s="153"/>
      <c r="AB766" s="153"/>
    </row>
    <row r="767" spans="1:28" ht="15">
      <c r="A767" s="153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3"/>
      <c r="P767" s="153"/>
      <c r="Q767" s="153"/>
      <c r="R767" s="153"/>
      <c r="S767" s="153"/>
      <c r="T767" s="153"/>
      <c r="U767" s="153"/>
      <c r="V767" s="153"/>
      <c r="W767" s="153"/>
      <c r="X767" s="153"/>
      <c r="Y767" s="153"/>
      <c r="Z767" s="153"/>
      <c r="AA767" s="153"/>
      <c r="AB767" s="153"/>
    </row>
    <row r="768" spans="1:28" ht="15">
      <c r="A768" s="153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/>
      <c r="V768" s="153"/>
      <c r="W768" s="153"/>
      <c r="X768" s="153"/>
      <c r="Y768" s="153"/>
      <c r="Z768" s="153"/>
      <c r="AA768" s="153"/>
      <c r="AB768" s="153"/>
    </row>
    <row r="769" spans="1:28" ht="15">
      <c r="A769" s="153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153"/>
      <c r="M769" s="153"/>
      <c r="N769" s="153"/>
      <c r="O769" s="153"/>
      <c r="P769" s="153"/>
      <c r="Q769" s="153"/>
      <c r="R769" s="153"/>
      <c r="S769" s="153"/>
      <c r="T769" s="153"/>
      <c r="U769" s="153"/>
      <c r="V769" s="153"/>
      <c r="W769" s="153"/>
      <c r="X769" s="153"/>
      <c r="Y769" s="153"/>
      <c r="Z769" s="153"/>
      <c r="AA769" s="153"/>
      <c r="AB769" s="153"/>
    </row>
    <row r="770" spans="1:28" ht="15">
      <c r="A770" s="153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/>
      <c r="V770" s="153"/>
      <c r="W770" s="153"/>
      <c r="X770" s="153"/>
      <c r="Y770" s="153"/>
      <c r="Z770" s="153"/>
      <c r="AA770" s="153"/>
      <c r="AB770" s="153"/>
    </row>
    <row r="771" spans="1:28" ht="15">
      <c r="A771" s="153"/>
      <c r="B771" s="153"/>
      <c r="C771" s="153"/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  <c r="N771" s="153"/>
      <c r="O771" s="153"/>
      <c r="P771" s="153"/>
      <c r="Q771" s="153"/>
      <c r="R771" s="153"/>
      <c r="S771" s="153"/>
      <c r="T771" s="153"/>
      <c r="U771" s="153"/>
      <c r="V771" s="153"/>
      <c r="W771" s="153"/>
      <c r="X771" s="153"/>
      <c r="Y771" s="153"/>
      <c r="Z771" s="153"/>
      <c r="AA771" s="153"/>
      <c r="AB771" s="153"/>
    </row>
    <row r="772" spans="1:28" ht="15">
      <c r="A772" s="153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/>
      <c r="V772" s="153"/>
      <c r="W772" s="153"/>
      <c r="X772" s="153"/>
      <c r="Y772" s="153"/>
      <c r="Z772" s="153"/>
      <c r="AA772" s="153"/>
      <c r="AB772" s="153"/>
    </row>
    <row r="773" spans="1:28" ht="15">
      <c r="A773" s="153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  <c r="N773" s="153"/>
      <c r="O773" s="153"/>
      <c r="P773" s="153"/>
      <c r="Q773" s="153"/>
      <c r="R773" s="153"/>
      <c r="S773" s="153"/>
      <c r="T773" s="153"/>
      <c r="U773" s="153"/>
      <c r="V773" s="153"/>
      <c r="W773" s="153"/>
      <c r="X773" s="153"/>
      <c r="Y773" s="153"/>
      <c r="Z773" s="153"/>
      <c r="AA773" s="153"/>
      <c r="AB773" s="153"/>
    </row>
    <row r="774" spans="1:28" ht="15">
      <c r="A774" s="153"/>
      <c r="B774" s="153"/>
      <c r="C774" s="153"/>
      <c r="D774" s="153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/>
      <c r="V774" s="153"/>
      <c r="W774" s="153"/>
      <c r="X774" s="153"/>
      <c r="Y774" s="153"/>
      <c r="Z774" s="153"/>
      <c r="AA774" s="153"/>
      <c r="AB774" s="153"/>
    </row>
    <row r="775" spans="1:28" ht="15">
      <c r="A775" s="153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153"/>
      <c r="M775" s="153"/>
      <c r="N775" s="153"/>
      <c r="O775" s="153"/>
      <c r="P775" s="153"/>
      <c r="Q775" s="153"/>
      <c r="R775" s="153"/>
      <c r="S775" s="153"/>
      <c r="T775" s="153"/>
      <c r="U775" s="153"/>
      <c r="V775" s="153"/>
      <c r="W775" s="153"/>
      <c r="X775" s="153"/>
      <c r="Y775" s="153"/>
      <c r="Z775" s="153"/>
      <c r="AA775" s="153"/>
      <c r="AB775" s="153"/>
    </row>
    <row r="776" spans="1:28" ht="15">
      <c r="A776" s="153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/>
      <c r="V776" s="153"/>
      <c r="W776" s="153"/>
      <c r="X776" s="153"/>
      <c r="Y776" s="153"/>
      <c r="Z776" s="153"/>
      <c r="AA776" s="153"/>
      <c r="AB776" s="153"/>
    </row>
    <row r="777" spans="1:28" ht="15">
      <c r="A777" s="153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153"/>
      <c r="M777" s="153"/>
      <c r="N777" s="153"/>
      <c r="O777" s="153"/>
      <c r="P777" s="153"/>
      <c r="Q777" s="153"/>
      <c r="R777" s="153"/>
      <c r="S777" s="153"/>
      <c r="T777" s="153"/>
      <c r="U777" s="153"/>
      <c r="V777" s="153"/>
      <c r="W777" s="153"/>
      <c r="X777" s="153"/>
      <c r="Y777" s="153"/>
      <c r="Z777" s="153"/>
      <c r="AA777" s="153"/>
      <c r="AB777" s="153"/>
    </row>
    <row r="778" spans="1:28" ht="15">
      <c r="A778" s="153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/>
      <c r="V778" s="153"/>
      <c r="W778" s="153"/>
      <c r="X778" s="153"/>
      <c r="Y778" s="153"/>
      <c r="Z778" s="153"/>
      <c r="AA778" s="153"/>
      <c r="AB778" s="153"/>
    </row>
    <row r="779" spans="1:28" ht="15">
      <c r="A779" s="153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  <c r="M779" s="153"/>
      <c r="N779" s="153"/>
      <c r="O779" s="153"/>
      <c r="P779" s="153"/>
      <c r="Q779" s="153"/>
      <c r="R779" s="153"/>
      <c r="S779" s="153"/>
      <c r="T779" s="153"/>
      <c r="U779" s="153"/>
      <c r="V779" s="153"/>
      <c r="W779" s="153"/>
      <c r="X779" s="153"/>
      <c r="Y779" s="153"/>
      <c r="Z779" s="153"/>
      <c r="AA779" s="153"/>
      <c r="AB779" s="153"/>
    </row>
    <row r="780" spans="1:28" ht="15">
      <c r="A780" s="153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/>
      <c r="V780" s="153"/>
      <c r="W780" s="153"/>
      <c r="X780" s="153"/>
      <c r="Y780" s="153"/>
      <c r="Z780" s="153"/>
      <c r="AA780" s="153"/>
      <c r="AB780" s="153"/>
    </row>
    <row r="781" spans="1:28" ht="15">
      <c r="A781" s="153"/>
      <c r="B781" s="153"/>
      <c r="C781" s="153"/>
      <c r="D781" s="153"/>
      <c r="E781" s="153"/>
      <c r="F781" s="153"/>
      <c r="G781" s="153"/>
      <c r="H781" s="153"/>
      <c r="I781" s="153"/>
      <c r="J781" s="153"/>
      <c r="K781" s="153"/>
      <c r="L781" s="153"/>
      <c r="M781" s="153"/>
      <c r="N781" s="153"/>
      <c r="O781" s="153"/>
      <c r="P781" s="153"/>
      <c r="Q781" s="153"/>
      <c r="R781" s="153"/>
      <c r="S781" s="153"/>
      <c r="T781" s="153"/>
      <c r="U781" s="153"/>
      <c r="V781" s="153"/>
      <c r="W781" s="153"/>
      <c r="X781" s="153"/>
      <c r="Y781" s="153"/>
      <c r="Z781" s="153"/>
      <c r="AA781" s="153"/>
      <c r="AB781" s="153"/>
    </row>
    <row r="782" spans="1:28" ht="15">
      <c r="A782" s="153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/>
      <c r="V782" s="153"/>
      <c r="W782" s="153"/>
      <c r="X782" s="153"/>
      <c r="Y782" s="153"/>
      <c r="Z782" s="153"/>
      <c r="AA782" s="153"/>
      <c r="AB782" s="153"/>
    </row>
    <row r="783" spans="1:28" ht="15">
      <c r="A783" s="153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153"/>
      <c r="M783" s="153"/>
      <c r="N783" s="153"/>
      <c r="O783" s="153"/>
      <c r="P783" s="153"/>
      <c r="Q783" s="153"/>
      <c r="R783" s="153"/>
      <c r="S783" s="153"/>
      <c r="T783" s="153"/>
      <c r="U783" s="153"/>
      <c r="V783" s="153"/>
      <c r="W783" s="153"/>
      <c r="X783" s="153"/>
      <c r="Y783" s="153"/>
      <c r="Z783" s="153"/>
      <c r="AA783" s="153"/>
      <c r="AB783" s="153"/>
    </row>
    <row r="784" spans="1:28" ht="15">
      <c r="A784" s="153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/>
      <c r="V784" s="153"/>
      <c r="W784" s="153"/>
      <c r="X784" s="153"/>
      <c r="Y784" s="153"/>
      <c r="Z784" s="153"/>
      <c r="AA784" s="153"/>
      <c r="AB784" s="153"/>
    </row>
    <row r="785" spans="1:28" ht="15">
      <c r="A785" s="153"/>
      <c r="B785" s="153"/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  <c r="N785" s="153"/>
      <c r="O785" s="153"/>
      <c r="P785" s="153"/>
      <c r="Q785" s="153"/>
      <c r="R785" s="153"/>
      <c r="S785" s="153"/>
      <c r="T785" s="153"/>
      <c r="U785" s="153"/>
      <c r="V785" s="153"/>
      <c r="W785" s="153"/>
      <c r="X785" s="153"/>
      <c r="Y785" s="153"/>
      <c r="Z785" s="153"/>
      <c r="AA785" s="153"/>
      <c r="AB785" s="153"/>
    </row>
    <row r="786" spans="1:28" ht="15">
      <c r="A786" s="153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/>
      <c r="V786" s="153"/>
      <c r="W786" s="153"/>
      <c r="X786" s="153"/>
      <c r="Y786" s="153"/>
      <c r="Z786" s="153"/>
      <c r="AA786" s="153"/>
      <c r="AB786" s="153"/>
    </row>
    <row r="787" spans="1:28" ht="15">
      <c r="A787" s="153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  <c r="N787" s="153"/>
      <c r="O787" s="153"/>
      <c r="P787" s="153"/>
      <c r="Q787" s="153"/>
      <c r="R787" s="153"/>
      <c r="S787" s="153"/>
      <c r="T787" s="153"/>
      <c r="U787" s="153"/>
      <c r="V787" s="153"/>
      <c r="W787" s="153"/>
      <c r="X787" s="153"/>
      <c r="Y787" s="153"/>
      <c r="Z787" s="153"/>
      <c r="AA787" s="153"/>
      <c r="AB787" s="153"/>
    </row>
    <row r="788" spans="1:28" ht="15">
      <c r="A788" s="153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/>
      <c r="V788" s="153"/>
      <c r="W788" s="153"/>
      <c r="X788" s="153"/>
      <c r="Y788" s="153"/>
      <c r="Z788" s="153"/>
      <c r="AA788" s="153"/>
      <c r="AB788" s="153"/>
    </row>
    <row r="789" spans="1:28" ht="15">
      <c r="A789" s="153"/>
      <c r="B789" s="153"/>
      <c r="C789" s="153"/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  <c r="N789" s="153"/>
      <c r="O789" s="153"/>
      <c r="P789" s="153"/>
      <c r="Q789" s="153"/>
      <c r="R789" s="153"/>
      <c r="S789" s="153"/>
      <c r="T789" s="153"/>
      <c r="U789" s="153"/>
      <c r="V789" s="153"/>
      <c r="W789" s="153"/>
      <c r="X789" s="153"/>
      <c r="Y789" s="153"/>
      <c r="Z789" s="153"/>
      <c r="AA789" s="153"/>
      <c r="AB789" s="153"/>
    </row>
    <row r="790" spans="1:28" ht="15">
      <c r="A790" s="153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/>
      <c r="V790" s="153"/>
      <c r="W790" s="153"/>
      <c r="X790" s="153"/>
      <c r="Y790" s="153"/>
      <c r="Z790" s="153"/>
      <c r="AA790" s="153"/>
      <c r="AB790" s="153"/>
    </row>
    <row r="791" spans="1:28" ht="15">
      <c r="A791" s="153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  <c r="M791" s="153"/>
      <c r="N791" s="153"/>
      <c r="O791" s="153"/>
      <c r="P791" s="153"/>
      <c r="Q791" s="153"/>
      <c r="R791" s="153"/>
      <c r="S791" s="153"/>
      <c r="T791" s="153"/>
      <c r="U791" s="153"/>
      <c r="V791" s="153"/>
      <c r="W791" s="153"/>
      <c r="X791" s="153"/>
      <c r="Y791" s="153"/>
      <c r="Z791" s="153"/>
      <c r="AA791" s="153"/>
      <c r="AB791" s="153"/>
    </row>
    <row r="792" spans="1:28" ht="15">
      <c r="A792" s="153"/>
      <c r="B792" s="153"/>
      <c r="C792" s="153"/>
      <c r="D792" s="153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/>
      <c r="V792" s="153"/>
      <c r="W792" s="153"/>
      <c r="X792" s="153"/>
      <c r="Y792" s="153"/>
      <c r="Z792" s="153"/>
      <c r="AA792" s="153"/>
      <c r="AB792" s="153"/>
    </row>
    <row r="793" spans="1:28" ht="15">
      <c r="A793" s="153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153"/>
      <c r="M793" s="153"/>
      <c r="N793" s="153"/>
      <c r="O793" s="153"/>
      <c r="P793" s="153"/>
      <c r="Q793" s="153"/>
      <c r="R793" s="153"/>
      <c r="S793" s="153"/>
      <c r="T793" s="153"/>
      <c r="U793" s="153"/>
      <c r="V793" s="153"/>
      <c r="W793" s="153"/>
      <c r="X793" s="153"/>
      <c r="Y793" s="153"/>
      <c r="Z793" s="153"/>
      <c r="AA793" s="153"/>
      <c r="AB793" s="153"/>
    </row>
    <row r="794" spans="1:28" ht="15">
      <c r="A794" s="153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/>
      <c r="V794" s="153"/>
      <c r="W794" s="153"/>
      <c r="X794" s="153"/>
      <c r="Y794" s="153"/>
      <c r="Z794" s="153"/>
      <c r="AA794" s="153"/>
      <c r="AB794" s="153"/>
    </row>
    <row r="795" spans="1:28" ht="15">
      <c r="A795" s="153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  <c r="M795" s="153"/>
      <c r="N795" s="153"/>
      <c r="O795" s="153"/>
      <c r="P795" s="153"/>
      <c r="Q795" s="153"/>
      <c r="R795" s="153"/>
      <c r="S795" s="153"/>
      <c r="T795" s="153"/>
      <c r="U795" s="153"/>
      <c r="V795" s="153"/>
      <c r="W795" s="153"/>
      <c r="X795" s="153"/>
      <c r="Y795" s="153"/>
      <c r="Z795" s="153"/>
      <c r="AA795" s="153"/>
      <c r="AB795" s="153"/>
    </row>
    <row r="796" spans="1:28" ht="15">
      <c r="A796" s="153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/>
      <c r="V796" s="153"/>
      <c r="W796" s="153"/>
      <c r="X796" s="153"/>
      <c r="Y796" s="153"/>
      <c r="Z796" s="153"/>
      <c r="AA796" s="153"/>
      <c r="AB796" s="153"/>
    </row>
    <row r="797" spans="1:28" ht="15">
      <c r="A797" s="153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153"/>
      <c r="M797" s="153"/>
      <c r="N797" s="153"/>
      <c r="O797" s="153"/>
      <c r="P797" s="153"/>
      <c r="Q797" s="153"/>
      <c r="R797" s="153"/>
      <c r="S797" s="153"/>
      <c r="T797" s="153"/>
      <c r="U797" s="153"/>
      <c r="V797" s="153"/>
      <c r="W797" s="153"/>
      <c r="X797" s="153"/>
      <c r="Y797" s="153"/>
      <c r="Z797" s="153"/>
      <c r="AA797" s="153"/>
      <c r="AB797" s="153"/>
    </row>
    <row r="798" spans="1:28" ht="15">
      <c r="A798" s="153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/>
      <c r="V798" s="153"/>
      <c r="W798" s="153"/>
      <c r="X798" s="153"/>
      <c r="Y798" s="153"/>
      <c r="Z798" s="153"/>
      <c r="AA798" s="153"/>
      <c r="AB798" s="153"/>
    </row>
    <row r="799" spans="1:28" ht="15">
      <c r="A799" s="153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153"/>
      <c r="M799" s="153"/>
      <c r="N799" s="153"/>
      <c r="O799" s="153"/>
      <c r="P799" s="153"/>
      <c r="Q799" s="153"/>
      <c r="R799" s="153"/>
      <c r="S799" s="153"/>
      <c r="T799" s="153"/>
      <c r="U799" s="153"/>
      <c r="V799" s="153"/>
      <c r="W799" s="153"/>
      <c r="X799" s="153"/>
      <c r="Y799" s="153"/>
      <c r="Z799" s="153"/>
      <c r="AA799" s="153"/>
      <c r="AB799" s="153"/>
    </row>
    <row r="800" spans="1:28" ht="15">
      <c r="A800" s="153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/>
      <c r="V800" s="153"/>
      <c r="W800" s="153"/>
      <c r="X800" s="153"/>
      <c r="Y800" s="153"/>
      <c r="Z800" s="153"/>
      <c r="AA800" s="153"/>
      <c r="AB800" s="153"/>
    </row>
    <row r="801" spans="1:28" ht="15">
      <c r="A801" s="153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153"/>
      <c r="M801" s="153"/>
      <c r="N801" s="153"/>
      <c r="O801" s="153"/>
      <c r="P801" s="153"/>
      <c r="Q801" s="153"/>
      <c r="R801" s="153"/>
      <c r="S801" s="153"/>
      <c r="T801" s="153"/>
      <c r="U801" s="153"/>
      <c r="V801" s="153"/>
      <c r="W801" s="153"/>
      <c r="X801" s="153"/>
      <c r="Y801" s="153"/>
      <c r="Z801" s="153"/>
      <c r="AA801" s="153"/>
      <c r="AB801" s="153"/>
    </row>
    <row r="802" spans="1:28" ht="15">
      <c r="A802" s="153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/>
      <c r="V802" s="153"/>
      <c r="W802" s="153"/>
      <c r="X802" s="153"/>
      <c r="Y802" s="153"/>
      <c r="Z802" s="153"/>
      <c r="AA802" s="153"/>
      <c r="AB802" s="153"/>
    </row>
    <row r="803" spans="1:28" ht="15">
      <c r="A803" s="153"/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153"/>
      <c r="N803" s="153"/>
      <c r="O803" s="153"/>
      <c r="P803" s="153"/>
      <c r="Q803" s="153"/>
      <c r="R803" s="153"/>
      <c r="S803" s="153"/>
      <c r="T803" s="153"/>
      <c r="U803" s="153"/>
      <c r="V803" s="153"/>
      <c r="W803" s="153"/>
      <c r="X803" s="153"/>
      <c r="Y803" s="153"/>
      <c r="Z803" s="153"/>
      <c r="AA803" s="153"/>
      <c r="AB803" s="153"/>
    </row>
    <row r="804" spans="1:28" ht="15">
      <c r="A804" s="153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/>
      <c r="V804" s="153"/>
      <c r="W804" s="153"/>
      <c r="X804" s="153"/>
      <c r="Y804" s="153"/>
      <c r="Z804" s="153"/>
      <c r="AA804" s="153"/>
      <c r="AB804" s="153"/>
    </row>
    <row r="805" spans="1:28" ht="15">
      <c r="A805" s="153"/>
      <c r="B805" s="153"/>
      <c r="C805" s="153"/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  <c r="N805" s="153"/>
      <c r="O805" s="153"/>
      <c r="P805" s="153"/>
      <c r="Q805" s="153"/>
      <c r="R805" s="153"/>
      <c r="S805" s="153"/>
      <c r="T805" s="153"/>
      <c r="U805" s="153"/>
      <c r="V805" s="153"/>
      <c r="W805" s="153"/>
      <c r="X805" s="153"/>
      <c r="Y805" s="153"/>
      <c r="Z805" s="153"/>
      <c r="AA805" s="153"/>
      <c r="AB805" s="153"/>
    </row>
    <row r="806" spans="1:28" ht="15">
      <c r="A806" s="153"/>
      <c r="B806" s="153"/>
      <c r="C806" s="153"/>
      <c r="D806" s="153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/>
      <c r="V806" s="153"/>
      <c r="W806" s="153"/>
      <c r="X806" s="153"/>
      <c r="Y806" s="153"/>
      <c r="Z806" s="153"/>
      <c r="AA806" s="153"/>
      <c r="AB806" s="153"/>
    </row>
    <row r="807" spans="1:28" ht="15">
      <c r="A807" s="153"/>
      <c r="B807" s="153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  <c r="N807" s="153"/>
      <c r="O807" s="153"/>
      <c r="P807" s="153"/>
      <c r="Q807" s="153"/>
      <c r="R807" s="153"/>
      <c r="S807" s="153"/>
      <c r="T807" s="153"/>
      <c r="U807" s="153"/>
      <c r="V807" s="153"/>
      <c r="W807" s="153"/>
      <c r="X807" s="153"/>
      <c r="Y807" s="153"/>
      <c r="Z807" s="153"/>
      <c r="AA807" s="153"/>
      <c r="AB807" s="153"/>
    </row>
    <row r="808" spans="1:28" ht="15">
      <c r="A808" s="153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/>
      <c r="V808" s="153"/>
      <c r="W808" s="153"/>
      <c r="X808" s="153"/>
      <c r="Y808" s="153"/>
      <c r="Z808" s="153"/>
      <c r="AA808" s="153"/>
      <c r="AB808" s="153"/>
    </row>
    <row r="809" spans="1:28" ht="15">
      <c r="A809" s="153"/>
      <c r="B809" s="153"/>
      <c r="C809" s="153"/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3"/>
      <c r="P809" s="153"/>
      <c r="Q809" s="153"/>
      <c r="R809" s="153"/>
      <c r="S809" s="153"/>
      <c r="T809" s="153"/>
      <c r="U809" s="153"/>
      <c r="V809" s="153"/>
      <c r="W809" s="153"/>
      <c r="X809" s="153"/>
      <c r="Y809" s="153"/>
      <c r="Z809" s="153"/>
      <c r="AA809" s="153"/>
      <c r="AB809" s="153"/>
    </row>
    <row r="810" spans="1:28" ht="15">
      <c r="A810" s="153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/>
      <c r="V810" s="153"/>
      <c r="W810" s="153"/>
      <c r="X810" s="153"/>
      <c r="Y810" s="153"/>
      <c r="Z810" s="153"/>
      <c r="AA810" s="153"/>
      <c r="AB810" s="153"/>
    </row>
    <row r="811" spans="1:28" ht="15">
      <c r="A811" s="153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  <c r="N811" s="153"/>
      <c r="O811" s="153"/>
      <c r="P811" s="153"/>
      <c r="Q811" s="153"/>
      <c r="R811" s="153"/>
      <c r="S811" s="153"/>
      <c r="T811" s="153"/>
      <c r="U811" s="153"/>
      <c r="V811" s="153"/>
      <c r="W811" s="153"/>
      <c r="X811" s="153"/>
      <c r="Y811" s="153"/>
      <c r="Z811" s="153"/>
      <c r="AA811" s="153"/>
      <c r="AB811" s="153"/>
    </row>
    <row r="812" spans="1:28" ht="15">
      <c r="A812" s="153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/>
      <c r="V812" s="153"/>
      <c r="W812" s="153"/>
      <c r="X812" s="153"/>
      <c r="Y812" s="153"/>
      <c r="Z812" s="153"/>
      <c r="AA812" s="153"/>
      <c r="AB812" s="153"/>
    </row>
    <row r="813" spans="1:28" ht="15">
      <c r="A813" s="153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  <c r="N813" s="153"/>
      <c r="O813" s="153"/>
      <c r="P813" s="153"/>
      <c r="Q813" s="153"/>
      <c r="R813" s="153"/>
      <c r="S813" s="153"/>
      <c r="T813" s="153"/>
      <c r="U813" s="153"/>
      <c r="V813" s="153"/>
      <c r="W813" s="153"/>
      <c r="X813" s="153"/>
      <c r="Y813" s="153"/>
      <c r="Z813" s="153"/>
      <c r="AA813" s="153"/>
      <c r="AB813" s="153"/>
    </row>
    <row r="814" spans="1:28" ht="15">
      <c r="A814" s="153"/>
      <c r="B814" s="153"/>
      <c r="C814" s="153"/>
      <c r="D814" s="153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/>
      <c r="V814" s="153"/>
      <c r="W814" s="153"/>
      <c r="X814" s="153"/>
      <c r="Y814" s="153"/>
      <c r="Z814" s="153"/>
      <c r="AA814" s="153"/>
      <c r="AB814" s="153"/>
    </row>
    <row r="815" spans="1:28" ht="15">
      <c r="A815" s="153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153"/>
      <c r="M815" s="153"/>
      <c r="N815" s="153"/>
      <c r="O815" s="153"/>
      <c r="P815" s="153"/>
      <c r="Q815" s="153"/>
      <c r="R815" s="153"/>
      <c r="S815" s="153"/>
      <c r="T815" s="153"/>
      <c r="U815" s="153"/>
      <c r="V815" s="153"/>
      <c r="W815" s="153"/>
      <c r="X815" s="153"/>
      <c r="Y815" s="153"/>
      <c r="Z815" s="153"/>
      <c r="AA815" s="153"/>
      <c r="AB815" s="153"/>
    </row>
    <row r="816" spans="1:28" ht="15">
      <c r="A816" s="153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/>
      <c r="V816" s="153"/>
      <c r="W816" s="153"/>
      <c r="X816" s="153"/>
      <c r="Y816" s="153"/>
      <c r="Z816" s="153"/>
      <c r="AA816" s="153"/>
      <c r="AB816" s="153"/>
    </row>
    <row r="817" spans="1:28" ht="15">
      <c r="A817" s="153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153"/>
      <c r="M817" s="153"/>
      <c r="N817" s="153"/>
      <c r="O817" s="153"/>
      <c r="P817" s="153"/>
      <c r="Q817" s="153"/>
      <c r="R817" s="153"/>
      <c r="S817" s="153"/>
      <c r="T817" s="153"/>
      <c r="U817" s="153"/>
      <c r="V817" s="153"/>
      <c r="W817" s="153"/>
      <c r="X817" s="153"/>
      <c r="Y817" s="153"/>
      <c r="Z817" s="153"/>
      <c r="AA817" s="153"/>
      <c r="AB817" s="153"/>
    </row>
    <row r="818" spans="1:28" ht="15">
      <c r="A818" s="153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/>
      <c r="V818" s="153"/>
      <c r="W818" s="153"/>
      <c r="X818" s="153"/>
      <c r="Y818" s="153"/>
      <c r="Z818" s="153"/>
      <c r="AA818" s="153"/>
      <c r="AB818" s="153"/>
    </row>
    <row r="819" spans="1:28" ht="15">
      <c r="A819" s="153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153"/>
      <c r="M819" s="153"/>
      <c r="N819" s="153"/>
      <c r="O819" s="153"/>
      <c r="P819" s="153"/>
      <c r="Q819" s="153"/>
      <c r="R819" s="153"/>
      <c r="S819" s="153"/>
      <c r="T819" s="153"/>
      <c r="U819" s="153"/>
      <c r="V819" s="153"/>
      <c r="W819" s="153"/>
      <c r="X819" s="153"/>
      <c r="Y819" s="153"/>
      <c r="Z819" s="153"/>
      <c r="AA819" s="153"/>
      <c r="AB819" s="153"/>
    </row>
    <row r="820" spans="1:28" ht="15">
      <c r="A820" s="153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/>
      <c r="V820" s="153"/>
      <c r="W820" s="153"/>
      <c r="X820" s="153"/>
      <c r="Y820" s="153"/>
      <c r="Z820" s="153"/>
      <c r="AA820" s="153"/>
      <c r="AB820" s="153"/>
    </row>
    <row r="821" spans="1:28" ht="15">
      <c r="A821" s="153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153"/>
      <c r="M821" s="153"/>
      <c r="N821" s="153"/>
      <c r="O821" s="153"/>
      <c r="P821" s="153"/>
      <c r="Q821" s="153"/>
      <c r="R821" s="153"/>
      <c r="S821" s="153"/>
      <c r="T821" s="153"/>
      <c r="U821" s="153"/>
      <c r="V821" s="153"/>
      <c r="W821" s="153"/>
      <c r="X821" s="153"/>
      <c r="Y821" s="153"/>
      <c r="Z821" s="153"/>
      <c r="AA821" s="153"/>
      <c r="AB821" s="153"/>
    </row>
    <row r="822" spans="1:28" ht="15">
      <c r="A822" s="153"/>
      <c r="B822" s="153"/>
      <c r="C822" s="153"/>
      <c r="D822" s="153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/>
      <c r="V822" s="153"/>
      <c r="W822" s="153"/>
      <c r="X822" s="153"/>
      <c r="Y822" s="153"/>
      <c r="Z822" s="153"/>
      <c r="AA822" s="153"/>
      <c r="AB822" s="153"/>
    </row>
    <row r="823" spans="1:28" ht="15">
      <c r="A823" s="153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153"/>
      <c r="M823" s="153"/>
      <c r="N823" s="153"/>
      <c r="O823" s="153"/>
      <c r="P823" s="153"/>
      <c r="Q823" s="153"/>
      <c r="R823" s="153"/>
      <c r="S823" s="153"/>
      <c r="T823" s="153"/>
      <c r="U823" s="153"/>
      <c r="V823" s="153"/>
      <c r="W823" s="153"/>
      <c r="X823" s="153"/>
      <c r="Y823" s="153"/>
      <c r="Z823" s="153"/>
      <c r="AA823" s="153"/>
      <c r="AB823" s="153"/>
    </row>
    <row r="824" spans="1:28" ht="15">
      <c r="A824" s="153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/>
      <c r="V824" s="153"/>
      <c r="W824" s="153"/>
      <c r="X824" s="153"/>
      <c r="Y824" s="153"/>
      <c r="Z824" s="153"/>
      <c r="AA824" s="153"/>
      <c r="AB824" s="153"/>
    </row>
    <row r="825" spans="1:28" ht="15">
      <c r="A825" s="153"/>
      <c r="B825" s="153"/>
      <c r="C825" s="153"/>
      <c r="D825" s="153"/>
      <c r="E825" s="153"/>
      <c r="F825" s="153"/>
      <c r="G825" s="153"/>
      <c r="H825" s="153"/>
      <c r="I825" s="153"/>
      <c r="J825" s="153"/>
      <c r="K825" s="153"/>
      <c r="L825" s="153"/>
      <c r="M825" s="153"/>
      <c r="N825" s="153"/>
      <c r="O825" s="153"/>
      <c r="P825" s="153"/>
      <c r="Q825" s="153"/>
      <c r="R825" s="153"/>
      <c r="S825" s="153"/>
      <c r="T825" s="153"/>
      <c r="U825" s="153"/>
      <c r="V825" s="153"/>
      <c r="W825" s="153"/>
      <c r="X825" s="153"/>
      <c r="Y825" s="153"/>
      <c r="Z825" s="153"/>
      <c r="AA825" s="153"/>
      <c r="AB825" s="153"/>
    </row>
    <row r="826" spans="1:28" ht="15">
      <c r="A826" s="153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/>
      <c r="V826" s="153"/>
      <c r="W826" s="153"/>
      <c r="X826" s="153"/>
      <c r="Y826" s="153"/>
      <c r="Z826" s="153"/>
      <c r="AA826" s="153"/>
      <c r="AB826" s="153"/>
    </row>
    <row r="827" spans="1:28" ht="15">
      <c r="A827" s="153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153"/>
      <c r="M827" s="153"/>
      <c r="N827" s="153"/>
      <c r="O827" s="153"/>
      <c r="P827" s="153"/>
      <c r="Q827" s="153"/>
      <c r="R827" s="153"/>
      <c r="S827" s="153"/>
      <c r="T827" s="153"/>
      <c r="U827" s="153"/>
      <c r="V827" s="153"/>
      <c r="W827" s="153"/>
      <c r="X827" s="153"/>
      <c r="Y827" s="153"/>
      <c r="Z827" s="153"/>
      <c r="AA827" s="153"/>
      <c r="AB827" s="153"/>
    </row>
    <row r="828" spans="1:28" ht="15">
      <c r="A828" s="153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/>
      <c r="V828" s="153"/>
      <c r="W828" s="153"/>
      <c r="X828" s="153"/>
      <c r="Y828" s="153"/>
      <c r="Z828" s="153"/>
      <c r="AA828" s="153"/>
      <c r="AB828" s="153"/>
    </row>
    <row r="829" spans="1:28" ht="15">
      <c r="A829" s="153"/>
      <c r="B829" s="153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53"/>
      <c r="N829" s="153"/>
      <c r="O829" s="153"/>
      <c r="P829" s="153"/>
      <c r="Q829" s="153"/>
      <c r="R829" s="153"/>
      <c r="S829" s="153"/>
      <c r="T829" s="153"/>
      <c r="U829" s="153"/>
      <c r="V829" s="153"/>
      <c r="W829" s="153"/>
      <c r="X829" s="153"/>
      <c r="Y829" s="153"/>
      <c r="Z829" s="153"/>
      <c r="AA829" s="153"/>
      <c r="AB829" s="153"/>
    </row>
    <row r="830" spans="1:28" ht="15">
      <c r="A830" s="153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/>
      <c r="V830" s="153"/>
      <c r="W830" s="153"/>
      <c r="X830" s="153"/>
      <c r="Y830" s="153"/>
      <c r="Z830" s="153"/>
      <c r="AA830" s="153"/>
      <c r="AB830" s="153"/>
    </row>
    <row r="831" spans="1:28" ht="15">
      <c r="A831" s="153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153"/>
      <c r="M831" s="153"/>
      <c r="N831" s="153"/>
      <c r="O831" s="153"/>
      <c r="P831" s="153"/>
      <c r="Q831" s="153"/>
      <c r="R831" s="153"/>
      <c r="S831" s="153"/>
      <c r="T831" s="153"/>
      <c r="U831" s="153"/>
      <c r="V831" s="153"/>
      <c r="W831" s="153"/>
      <c r="X831" s="153"/>
      <c r="Y831" s="153"/>
      <c r="Z831" s="153"/>
      <c r="AA831" s="153"/>
      <c r="AB831" s="153"/>
    </row>
    <row r="832" spans="1:28" ht="15">
      <c r="A832" s="153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/>
      <c r="V832" s="153"/>
      <c r="W832" s="153"/>
      <c r="X832" s="153"/>
      <c r="Y832" s="153"/>
      <c r="Z832" s="153"/>
      <c r="AA832" s="153"/>
      <c r="AB832" s="153"/>
    </row>
    <row r="833" spans="1:28" ht="15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53"/>
      <c r="N833" s="153"/>
      <c r="O833" s="153"/>
      <c r="P833" s="153"/>
      <c r="Q833" s="153"/>
      <c r="R833" s="153"/>
      <c r="S833" s="153"/>
      <c r="T833" s="153"/>
      <c r="U833" s="153"/>
      <c r="V833" s="153"/>
      <c r="W833" s="153"/>
      <c r="X833" s="153"/>
      <c r="Y833" s="153"/>
      <c r="Z833" s="153"/>
      <c r="AA833" s="153"/>
      <c r="AB833" s="153"/>
    </row>
    <row r="834" spans="1:28" ht="15">
      <c r="A834" s="153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/>
      <c r="V834" s="153"/>
      <c r="W834" s="153"/>
      <c r="X834" s="153"/>
      <c r="Y834" s="153"/>
      <c r="Z834" s="153"/>
      <c r="AA834" s="153"/>
      <c r="AB834" s="153"/>
    </row>
    <row r="835" spans="1:28" ht="15">
      <c r="A835" s="153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153"/>
      <c r="M835" s="153"/>
      <c r="N835" s="153"/>
      <c r="O835" s="153"/>
      <c r="P835" s="153"/>
      <c r="Q835" s="153"/>
      <c r="R835" s="153"/>
      <c r="S835" s="153"/>
      <c r="T835" s="153"/>
      <c r="U835" s="153"/>
      <c r="V835" s="153"/>
      <c r="W835" s="153"/>
      <c r="X835" s="153"/>
      <c r="Y835" s="153"/>
      <c r="Z835" s="153"/>
      <c r="AA835" s="153"/>
      <c r="AB835" s="153"/>
    </row>
    <row r="836" spans="1:28" ht="15">
      <c r="A836" s="153"/>
      <c r="B836" s="153"/>
      <c r="C836" s="153"/>
      <c r="D836" s="153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/>
      <c r="V836" s="153"/>
      <c r="W836" s="153"/>
      <c r="X836" s="153"/>
      <c r="Y836" s="153"/>
      <c r="Z836" s="153"/>
      <c r="AA836" s="153"/>
      <c r="AB836" s="153"/>
    </row>
    <row r="837" spans="1:28" ht="15">
      <c r="A837" s="153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153"/>
      <c r="M837" s="153"/>
      <c r="N837" s="153"/>
      <c r="O837" s="153"/>
      <c r="P837" s="153"/>
      <c r="Q837" s="153"/>
      <c r="R837" s="153"/>
      <c r="S837" s="153"/>
      <c r="T837" s="153"/>
      <c r="U837" s="153"/>
      <c r="V837" s="153"/>
      <c r="W837" s="153"/>
      <c r="X837" s="153"/>
      <c r="Y837" s="153"/>
      <c r="Z837" s="153"/>
      <c r="AA837" s="153"/>
      <c r="AB837" s="153"/>
    </row>
    <row r="838" spans="1:28" ht="15">
      <c r="A838" s="153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/>
      <c r="V838" s="153"/>
      <c r="W838" s="153"/>
      <c r="X838" s="153"/>
      <c r="Y838" s="153"/>
      <c r="Z838" s="153"/>
      <c r="AA838" s="153"/>
      <c r="AB838" s="153"/>
    </row>
    <row r="839" spans="1:28" ht="15">
      <c r="A839" s="153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153"/>
      <c r="M839" s="153"/>
      <c r="N839" s="153"/>
      <c r="O839" s="153"/>
      <c r="P839" s="153"/>
      <c r="Q839" s="153"/>
      <c r="R839" s="153"/>
      <c r="S839" s="153"/>
      <c r="T839" s="153"/>
      <c r="U839" s="153"/>
      <c r="V839" s="153"/>
      <c r="W839" s="153"/>
      <c r="X839" s="153"/>
      <c r="Y839" s="153"/>
      <c r="Z839" s="153"/>
      <c r="AA839" s="153"/>
      <c r="AB839" s="153"/>
    </row>
    <row r="840" spans="1:28" ht="15">
      <c r="A840" s="153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/>
      <c r="V840" s="153"/>
      <c r="W840" s="153"/>
      <c r="X840" s="153"/>
      <c r="Y840" s="153"/>
      <c r="Z840" s="153"/>
      <c r="AA840" s="153"/>
      <c r="AB840" s="153"/>
    </row>
    <row r="841" spans="1:28" ht="15">
      <c r="A841" s="153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153"/>
      <c r="M841" s="153"/>
      <c r="N841" s="153"/>
      <c r="O841" s="153"/>
      <c r="P841" s="153"/>
      <c r="Q841" s="153"/>
      <c r="R841" s="153"/>
      <c r="S841" s="153"/>
      <c r="T841" s="153"/>
      <c r="U841" s="153"/>
      <c r="V841" s="153"/>
      <c r="W841" s="153"/>
      <c r="X841" s="153"/>
      <c r="Y841" s="153"/>
      <c r="Z841" s="153"/>
      <c r="AA841" s="153"/>
      <c r="AB841" s="153"/>
    </row>
    <row r="842" spans="1:28" ht="15">
      <c r="A842" s="153"/>
      <c r="B842" s="153"/>
      <c r="C842" s="153"/>
      <c r="D842" s="153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/>
      <c r="V842" s="153"/>
      <c r="W842" s="153"/>
      <c r="X842" s="153"/>
      <c r="Y842" s="153"/>
      <c r="Z842" s="153"/>
      <c r="AA842" s="153"/>
      <c r="AB842" s="153"/>
    </row>
    <row r="843" spans="1:28" ht="15">
      <c r="A843" s="153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153"/>
      <c r="M843" s="153"/>
      <c r="N843" s="153"/>
      <c r="O843" s="153"/>
      <c r="P843" s="153"/>
      <c r="Q843" s="153"/>
      <c r="R843" s="153"/>
      <c r="S843" s="153"/>
      <c r="T843" s="153"/>
      <c r="U843" s="153"/>
      <c r="V843" s="153"/>
      <c r="W843" s="153"/>
      <c r="X843" s="153"/>
      <c r="Y843" s="153"/>
      <c r="Z843" s="153"/>
      <c r="AA843" s="153"/>
      <c r="AB843" s="153"/>
    </row>
    <row r="844" spans="1:28" ht="15">
      <c r="A844" s="153"/>
      <c r="B844" s="153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/>
      <c r="V844" s="153"/>
      <c r="W844" s="153"/>
      <c r="X844" s="153"/>
      <c r="Y844" s="153"/>
      <c r="Z844" s="153"/>
      <c r="AA844" s="153"/>
      <c r="AB844" s="153"/>
    </row>
    <row r="845" spans="1:28" ht="15">
      <c r="A845" s="153"/>
      <c r="B845" s="153"/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  <c r="M845" s="153"/>
      <c r="N845" s="153"/>
      <c r="O845" s="153"/>
      <c r="P845" s="153"/>
      <c r="Q845" s="153"/>
      <c r="R845" s="153"/>
      <c r="S845" s="153"/>
      <c r="T845" s="153"/>
      <c r="U845" s="153"/>
      <c r="V845" s="153"/>
      <c r="W845" s="153"/>
      <c r="X845" s="153"/>
      <c r="Y845" s="153"/>
      <c r="Z845" s="153"/>
      <c r="AA845" s="153"/>
      <c r="AB845" s="153"/>
    </row>
    <row r="846" spans="1:28" ht="15">
      <c r="A846" s="153"/>
      <c r="B846" s="153"/>
      <c r="C846" s="153"/>
      <c r="D846" s="153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/>
      <c r="V846" s="153"/>
      <c r="W846" s="153"/>
      <c r="X846" s="153"/>
      <c r="Y846" s="153"/>
      <c r="Z846" s="153"/>
      <c r="AA846" s="153"/>
      <c r="AB846" s="153"/>
    </row>
    <row r="847" spans="1:28" ht="15">
      <c r="A847" s="153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153"/>
      <c r="M847" s="153"/>
      <c r="N847" s="153"/>
      <c r="O847" s="153"/>
      <c r="P847" s="153"/>
      <c r="Q847" s="153"/>
      <c r="R847" s="153"/>
      <c r="S847" s="153"/>
      <c r="T847" s="153"/>
      <c r="U847" s="153"/>
      <c r="V847" s="153"/>
      <c r="W847" s="153"/>
      <c r="X847" s="153"/>
      <c r="Y847" s="153"/>
      <c r="Z847" s="153"/>
      <c r="AA847" s="153"/>
      <c r="AB847" s="153"/>
    </row>
    <row r="848" spans="1:28" ht="15">
      <c r="A848" s="153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/>
      <c r="V848" s="153"/>
      <c r="W848" s="153"/>
      <c r="X848" s="153"/>
      <c r="Y848" s="153"/>
      <c r="Z848" s="153"/>
      <c r="AA848" s="153"/>
      <c r="AB848" s="153"/>
    </row>
    <row r="849" spans="1:28" ht="15">
      <c r="A849" s="153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153"/>
      <c r="M849" s="153"/>
      <c r="N849" s="153"/>
      <c r="O849" s="153"/>
      <c r="P849" s="153"/>
      <c r="Q849" s="153"/>
      <c r="R849" s="153"/>
      <c r="S849" s="153"/>
      <c r="T849" s="153"/>
      <c r="U849" s="153"/>
      <c r="V849" s="153"/>
      <c r="W849" s="153"/>
      <c r="X849" s="153"/>
      <c r="Y849" s="153"/>
      <c r="Z849" s="153"/>
      <c r="AA849" s="153"/>
      <c r="AB849" s="153"/>
    </row>
    <row r="850" spans="1:28" ht="15">
      <c r="A850" s="153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/>
      <c r="V850" s="153"/>
      <c r="W850" s="153"/>
      <c r="X850" s="153"/>
      <c r="Y850" s="153"/>
      <c r="Z850" s="153"/>
      <c r="AA850" s="153"/>
      <c r="AB850" s="153"/>
    </row>
    <row r="851" spans="1:28" ht="15">
      <c r="A851" s="153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  <c r="M851" s="153"/>
      <c r="N851" s="153"/>
      <c r="O851" s="153"/>
      <c r="P851" s="153"/>
      <c r="Q851" s="153"/>
      <c r="R851" s="153"/>
      <c r="S851" s="153"/>
      <c r="T851" s="153"/>
      <c r="U851" s="153"/>
      <c r="V851" s="153"/>
      <c r="W851" s="153"/>
      <c r="X851" s="153"/>
      <c r="Y851" s="153"/>
      <c r="Z851" s="153"/>
      <c r="AA851" s="153"/>
      <c r="AB851" s="153"/>
    </row>
    <row r="852" spans="1:28" ht="15">
      <c r="A852" s="153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/>
      <c r="V852" s="153"/>
      <c r="W852" s="153"/>
      <c r="X852" s="153"/>
      <c r="Y852" s="153"/>
      <c r="Z852" s="153"/>
      <c r="AA852" s="153"/>
      <c r="AB852" s="153"/>
    </row>
    <row r="853" spans="1:28" ht="15">
      <c r="A853" s="153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153"/>
      <c r="M853" s="153"/>
      <c r="N853" s="153"/>
      <c r="O853" s="153"/>
      <c r="P853" s="153"/>
      <c r="Q853" s="153"/>
      <c r="R853" s="153"/>
      <c r="S853" s="153"/>
      <c r="T853" s="153"/>
      <c r="U853" s="153"/>
      <c r="V853" s="153"/>
      <c r="W853" s="153"/>
      <c r="X853" s="153"/>
      <c r="Y853" s="153"/>
      <c r="Z853" s="153"/>
      <c r="AA853" s="153"/>
      <c r="AB853" s="153"/>
    </row>
    <row r="854" spans="1:28" ht="15">
      <c r="A854" s="153"/>
      <c r="B854" s="153"/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/>
      <c r="V854" s="153"/>
      <c r="W854" s="153"/>
      <c r="X854" s="153"/>
      <c r="Y854" s="153"/>
      <c r="Z854" s="153"/>
      <c r="AA854" s="153"/>
      <c r="AB854" s="153"/>
    </row>
    <row r="855" spans="1:28" ht="15">
      <c r="A855" s="153"/>
      <c r="B855" s="153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3"/>
      <c r="Q855" s="153"/>
      <c r="R855" s="153"/>
      <c r="S855" s="153"/>
      <c r="T855" s="153"/>
      <c r="U855" s="153"/>
      <c r="V855" s="153"/>
      <c r="W855" s="153"/>
      <c r="X855" s="153"/>
      <c r="Y855" s="153"/>
      <c r="Z855" s="153"/>
      <c r="AA855" s="153"/>
      <c r="AB855" s="153"/>
    </row>
    <row r="856" spans="1:28" ht="15">
      <c r="A856" s="153"/>
      <c r="B856" s="153"/>
      <c r="C856" s="153"/>
      <c r="D856" s="153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/>
      <c r="V856" s="153"/>
      <c r="W856" s="153"/>
      <c r="X856" s="153"/>
      <c r="Y856" s="153"/>
      <c r="Z856" s="153"/>
      <c r="AA856" s="153"/>
      <c r="AB856" s="153"/>
    </row>
    <row r="857" spans="1:28" ht="15">
      <c r="A857" s="153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  <c r="M857" s="153"/>
      <c r="N857" s="153"/>
      <c r="O857" s="153"/>
      <c r="P857" s="153"/>
      <c r="Q857" s="153"/>
      <c r="R857" s="153"/>
      <c r="S857" s="153"/>
      <c r="T857" s="153"/>
      <c r="U857" s="153"/>
      <c r="V857" s="153"/>
      <c r="W857" s="153"/>
      <c r="X857" s="153"/>
      <c r="Y857" s="153"/>
      <c r="Z857" s="153"/>
      <c r="AA857" s="153"/>
      <c r="AB857" s="153"/>
    </row>
    <row r="858" spans="1:28" ht="15">
      <c r="A858" s="153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/>
      <c r="V858" s="153"/>
      <c r="W858" s="153"/>
      <c r="X858" s="153"/>
      <c r="Y858" s="153"/>
      <c r="Z858" s="153"/>
      <c r="AA858" s="153"/>
      <c r="AB858" s="153"/>
    </row>
    <row r="859" spans="1:28" ht="15">
      <c r="A859" s="153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153"/>
      <c r="M859" s="153"/>
      <c r="N859" s="153"/>
      <c r="O859" s="153"/>
      <c r="P859" s="153"/>
      <c r="Q859" s="153"/>
      <c r="R859" s="153"/>
      <c r="S859" s="153"/>
      <c r="T859" s="153"/>
      <c r="U859" s="153"/>
      <c r="V859" s="153"/>
      <c r="W859" s="153"/>
      <c r="X859" s="153"/>
      <c r="Y859" s="153"/>
      <c r="Z859" s="153"/>
      <c r="AA859" s="153"/>
      <c r="AB859" s="153"/>
    </row>
    <row r="860" spans="1:28" ht="15">
      <c r="A860" s="153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/>
      <c r="V860" s="153"/>
      <c r="W860" s="153"/>
      <c r="X860" s="153"/>
      <c r="Y860" s="153"/>
      <c r="Z860" s="153"/>
      <c r="AA860" s="153"/>
      <c r="AB860" s="153"/>
    </row>
    <row r="861" spans="1:28" ht="15">
      <c r="A861" s="153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53"/>
      <c r="P861" s="153"/>
      <c r="Q861" s="153"/>
      <c r="R861" s="153"/>
      <c r="S861" s="153"/>
      <c r="T861" s="153"/>
      <c r="U861" s="153"/>
      <c r="V861" s="153"/>
      <c r="W861" s="153"/>
      <c r="X861" s="153"/>
      <c r="Y861" s="153"/>
      <c r="Z861" s="153"/>
      <c r="AA861" s="153"/>
      <c r="AB861" s="153"/>
    </row>
    <row r="862" spans="1:28" ht="15">
      <c r="A862" s="153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/>
      <c r="V862" s="153"/>
      <c r="W862" s="153"/>
      <c r="X862" s="153"/>
      <c r="Y862" s="153"/>
      <c r="Z862" s="153"/>
      <c r="AA862" s="153"/>
      <c r="AB862" s="153"/>
    </row>
    <row r="863" spans="1:28" ht="15">
      <c r="A863" s="153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  <c r="M863" s="153"/>
      <c r="N863" s="153"/>
      <c r="O863" s="153"/>
      <c r="P863" s="153"/>
      <c r="Q863" s="153"/>
      <c r="R863" s="153"/>
      <c r="S863" s="153"/>
      <c r="T863" s="153"/>
      <c r="U863" s="153"/>
      <c r="V863" s="153"/>
      <c r="W863" s="153"/>
      <c r="X863" s="153"/>
      <c r="Y863" s="153"/>
      <c r="Z863" s="153"/>
      <c r="AA863" s="153"/>
      <c r="AB863" s="153"/>
    </row>
    <row r="864" spans="1:28" ht="15">
      <c r="A864" s="153"/>
      <c r="B864" s="153"/>
      <c r="C864" s="153"/>
      <c r="D864" s="153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/>
      <c r="V864" s="153"/>
      <c r="W864" s="153"/>
      <c r="X864" s="153"/>
      <c r="Y864" s="153"/>
      <c r="Z864" s="153"/>
      <c r="AA864" s="153"/>
      <c r="AB864" s="153"/>
    </row>
    <row r="865" spans="1:28" ht="15">
      <c r="A865" s="153"/>
      <c r="B865" s="153"/>
      <c r="C865" s="153"/>
      <c r="D865" s="153"/>
      <c r="E865" s="153"/>
      <c r="F865" s="153"/>
      <c r="G865" s="153"/>
      <c r="H865" s="153"/>
      <c r="I865" s="153"/>
      <c r="J865" s="153"/>
      <c r="K865" s="153"/>
      <c r="L865" s="153"/>
      <c r="M865" s="153"/>
      <c r="N865" s="153"/>
      <c r="O865" s="153"/>
      <c r="P865" s="153"/>
      <c r="Q865" s="153"/>
      <c r="R865" s="153"/>
      <c r="S865" s="153"/>
      <c r="T865" s="153"/>
      <c r="U865" s="153"/>
      <c r="V865" s="153"/>
      <c r="W865" s="153"/>
      <c r="X865" s="153"/>
      <c r="Y865" s="153"/>
      <c r="Z865" s="153"/>
      <c r="AA865" s="153"/>
      <c r="AB865" s="153"/>
    </row>
    <row r="866" spans="1:28" ht="15">
      <c r="A866" s="153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/>
      <c r="V866" s="153"/>
      <c r="W866" s="153"/>
      <c r="X866" s="153"/>
      <c r="Y866" s="153"/>
      <c r="Z866" s="153"/>
      <c r="AA866" s="153"/>
      <c r="AB866" s="153"/>
    </row>
    <row r="867" spans="1:28" ht="15">
      <c r="A867" s="153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153"/>
      <c r="M867" s="153"/>
      <c r="N867" s="153"/>
      <c r="O867" s="153"/>
      <c r="P867" s="153"/>
      <c r="Q867" s="153"/>
      <c r="R867" s="153"/>
      <c r="S867" s="153"/>
      <c r="T867" s="153"/>
      <c r="U867" s="153"/>
      <c r="V867" s="153"/>
      <c r="W867" s="153"/>
      <c r="X867" s="153"/>
      <c r="Y867" s="153"/>
      <c r="Z867" s="153"/>
      <c r="AA867" s="153"/>
      <c r="AB867" s="153"/>
    </row>
    <row r="868" spans="1:28" ht="15">
      <c r="A868" s="153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/>
      <c r="V868" s="153"/>
      <c r="W868" s="153"/>
      <c r="X868" s="153"/>
      <c r="Y868" s="153"/>
      <c r="Z868" s="153"/>
      <c r="AA868" s="153"/>
      <c r="AB868" s="153"/>
    </row>
    <row r="869" spans="1:28" ht="15">
      <c r="A869" s="153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  <c r="M869" s="153"/>
      <c r="N869" s="153"/>
      <c r="O869" s="153"/>
      <c r="P869" s="153"/>
      <c r="Q869" s="153"/>
      <c r="R869" s="153"/>
      <c r="S869" s="153"/>
      <c r="T869" s="153"/>
      <c r="U869" s="153"/>
      <c r="V869" s="153"/>
      <c r="W869" s="153"/>
      <c r="X869" s="153"/>
      <c r="Y869" s="153"/>
      <c r="Z869" s="153"/>
      <c r="AA869" s="153"/>
      <c r="AB869" s="153"/>
    </row>
    <row r="870" spans="1:28" ht="15">
      <c r="A870" s="153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/>
      <c r="V870" s="153"/>
      <c r="W870" s="153"/>
      <c r="X870" s="153"/>
      <c r="Y870" s="153"/>
      <c r="Z870" s="153"/>
      <c r="AA870" s="153"/>
      <c r="AB870" s="153"/>
    </row>
    <row r="871" spans="1:28" ht="15">
      <c r="A871" s="153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153"/>
      <c r="M871" s="153"/>
      <c r="N871" s="153"/>
      <c r="O871" s="153"/>
      <c r="P871" s="153"/>
      <c r="Q871" s="153"/>
      <c r="R871" s="153"/>
      <c r="S871" s="153"/>
      <c r="T871" s="153"/>
      <c r="U871" s="153"/>
      <c r="V871" s="153"/>
      <c r="W871" s="153"/>
      <c r="X871" s="153"/>
      <c r="Y871" s="153"/>
      <c r="Z871" s="153"/>
      <c r="AA871" s="153"/>
      <c r="AB871" s="153"/>
    </row>
    <row r="872" spans="1:28" ht="15">
      <c r="A872" s="153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/>
      <c r="V872" s="153"/>
      <c r="W872" s="153"/>
      <c r="X872" s="153"/>
      <c r="Y872" s="153"/>
      <c r="Z872" s="153"/>
      <c r="AA872" s="153"/>
      <c r="AB872" s="153"/>
    </row>
    <row r="873" spans="1:28" ht="15">
      <c r="A873" s="153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  <c r="M873" s="153"/>
      <c r="N873" s="153"/>
      <c r="O873" s="153"/>
      <c r="P873" s="153"/>
      <c r="Q873" s="153"/>
      <c r="R873" s="153"/>
      <c r="S873" s="153"/>
      <c r="T873" s="153"/>
      <c r="U873" s="153"/>
      <c r="V873" s="153"/>
      <c r="W873" s="153"/>
      <c r="X873" s="153"/>
      <c r="Y873" s="153"/>
      <c r="Z873" s="153"/>
      <c r="AA873" s="153"/>
      <c r="AB873" s="153"/>
    </row>
    <row r="874" spans="1:28" ht="15">
      <c r="A874" s="153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/>
      <c r="V874" s="153"/>
      <c r="W874" s="153"/>
      <c r="X874" s="153"/>
      <c r="Y874" s="153"/>
      <c r="Z874" s="153"/>
      <c r="AA874" s="153"/>
      <c r="AB874" s="153"/>
    </row>
    <row r="875" spans="1:28" ht="15">
      <c r="A875" s="153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153"/>
      <c r="M875" s="153"/>
      <c r="N875" s="153"/>
      <c r="O875" s="153"/>
      <c r="P875" s="153"/>
      <c r="Q875" s="153"/>
      <c r="R875" s="153"/>
      <c r="S875" s="153"/>
      <c r="T875" s="153"/>
      <c r="U875" s="153"/>
      <c r="V875" s="153"/>
      <c r="W875" s="153"/>
      <c r="X875" s="153"/>
      <c r="Y875" s="153"/>
      <c r="Z875" s="153"/>
      <c r="AA875" s="153"/>
      <c r="AB875" s="153"/>
    </row>
    <row r="876" spans="1:28" ht="15">
      <c r="A876" s="153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/>
      <c r="V876" s="153"/>
      <c r="W876" s="153"/>
      <c r="X876" s="153"/>
      <c r="Y876" s="153"/>
      <c r="Z876" s="153"/>
      <c r="AA876" s="153"/>
      <c r="AB876" s="153"/>
    </row>
    <row r="877" spans="1:28" ht="15">
      <c r="A877" s="153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153"/>
      <c r="M877" s="153"/>
      <c r="N877" s="153"/>
      <c r="O877" s="153"/>
      <c r="P877" s="153"/>
      <c r="Q877" s="153"/>
      <c r="R877" s="153"/>
      <c r="S877" s="153"/>
      <c r="T877" s="153"/>
      <c r="U877" s="153"/>
      <c r="V877" s="153"/>
      <c r="W877" s="153"/>
      <c r="X877" s="153"/>
      <c r="Y877" s="153"/>
      <c r="Z877" s="153"/>
      <c r="AA877" s="153"/>
      <c r="AB877" s="153"/>
    </row>
    <row r="878" spans="1:28" ht="15">
      <c r="A878" s="153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/>
      <c r="V878" s="153"/>
      <c r="W878" s="153"/>
      <c r="X878" s="153"/>
      <c r="Y878" s="153"/>
      <c r="Z878" s="153"/>
      <c r="AA878" s="153"/>
      <c r="AB878" s="153"/>
    </row>
    <row r="879" spans="1:28" ht="15">
      <c r="A879" s="153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153"/>
      <c r="M879" s="153"/>
      <c r="N879" s="153"/>
      <c r="O879" s="153"/>
      <c r="P879" s="153"/>
      <c r="Q879" s="153"/>
      <c r="R879" s="153"/>
      <c r="S879" s="153"/>
      <c r="T879" s="153"/>
      <c r="U879" s="153"/>
      <c r="V879" s="153"/>
      <c r="W879" s="153"/>
      <c r="X879" s="153"/>
      <c r="Y879" s="153"/>
      <c r="Z879" s="153"/>
      <c r="AA879" s="153"/>
      <c r="AB879" s="153"/>
    </row>
    <row r="880" spans="1:28" ht="15">
      <c r="A880" s="153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/>
      <c r="V880" s="153"/>
      <c r="W880" s="153"/>
      <c r="X880" s="153"/>
      <c r="Y880" s="153"/>
      <c r="Z880" s="153"/>
      <c r="AA880" s="153"/>
      <c r="AB880" s="153"/>
    </row>
    <row r="881" spans="1:28" ht="15">
      <c r="A881" s="153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3"/>
      <c r="P881" s="153"/>
      <c r="Q881" s="153"/>
      <c r="R881" s="153"/>
      <c r="S881" s="153"/>
      <c r="T881" s="153"/>
      <c r="U881" s="153"/>
      <c r="V881" s="153"/>
      <c r="W881" s="153"/>
      <c r="X881" s="153"/>
      <c r="Y881" s="153"/>
      <c r="Z881" s="153"/>
      <c r="AA881" s="153"/>
      <c r="AB881" s="153"/>
    </row>
    <row r="882" spans="1:28" ht="15">
      <c r="A882" s="153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/>
      <c r="V882" s="153"/>
      <c r="W882" s="153"/>
      <c r="X882" s="153"/>
      <c r="Y882" s="153"/>
      <c r="Z882" s="153"/>
      <c r="AA882" s="153"/>
      <c r="AB882" s="153"/>
    </row>
    <row r="883" spans="1:28" ht="15">
      <c r="A883" s="153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3"/>
      <c r="P883" s="153"/>
      <c r="Q883" s="153"/>
      <c r="R883" s="153"/>
      <c r="S883" s="153"/>
      <c r="T883" s="153"/>
      <c r="U883" s="153"/>
      <c r="V883" s="153"/>
      <c r="W883" s="153"/>
      <c r="X883" s="153"/>
      <c r="Y883" s="153"/>
      <c r="Z883" s="153"/>
      <c r="AA883" s="153"/>
      <c r="AB883" s="153"/>
    </row>
    <row r="884" spans="1:28" ht="15">
      <c r="A884" s="153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/>
      <c r="V884" s="153"/>
      <c r="W884" s="153"/>
      <c r="X884" s="153"/>
      <c r="Y884" s="153"/>
      <c r="Z884" s="153"/>
      <c r="AA884" s="153"/>
      <c r="AB884" s="153"/>
    </row>
    <row r="885" spans="1:28" ht="15">
      <c r="A885" s="153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153"/>
      <c r="M885" s="153"/>
      <c r="N885" s="153"/>
      <c r="O885" s="153"/>
      <c r="P885" s="153"/>
      <c r="Q885" s="153"/>
      <c r="R885" s="153"/>
      <c r="S885" s="153"/>
      <c r="T885" s="153"/>
      <c r="U885" s="153"/>
      <c r="V885" s="153"/>
      <c r="W885" s="153"/>
      <c r="X885" s="153"/>
      <c r="Y885" s="153"/>
      <c r="Z885" s="153"/>
      <c r="AA885" s="153"/>
      <c r="AB885" s="153"/>
    </row>
    <row r="886" spans="1:28" ht="15">
      <c r="A886" s="153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/>
      <c r="V886" s="153"/>
      <c r="W886" s="153"/>
      <c r="X886" s="153"/>
      <c r="Y886" s="153"/>
      <c r="Z886" s="153"/>
      <c r="AA886" s="153"/>
      <c r="AB886" s="153"/>
    </row>
    <row r="887" spans="1:28" ht="15">
      <c r="A887" s="153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153"/>
      <c r="M887" s="153"/>
      <c r="N887" s="153"/>
      <c r="O887" s="153"/>
      <c r="P887" s="153"/>
      <c r="Q887" s="153"/>
      <c r="R887" s="153"/>
      <c r="S887" s="153"/>
      <c r="T887" s="153"/>
      <c r="U887" s="153"/>
      <c r="V887" s="153"/>
      <c r="W887" s="153"/>
      <c r="X887" s="153"/>
      <c r="Y887" s="153"/>
      <c r="Z887" s="153"/>
      <c r="AA887" s="153"/>
      <c r="AB887" s="153"/>
    </row>
    <row r="888" spans="1:28" ht="15">
      <c r="A888" s="153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/>
      <c r="V888" s="153"/>
      <c r="W888" s="153"/>
      <c r="X888" s="153"/>
      <c r="Y888" s="153"/>
      <c r="Z888" s="153"/>
      <c r="AA888" s="153"/>
      <c r="AB888" s="153"/>
    </row>
    <row r="889" spans="1:28" ht="15">
      <c r="A889" s="153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153"/>
      <c r="M889" s="153"/>
      <c r="N889" s="153"/>
      <c r="O889" s="153"/>
      <c r="P889" s="153"/>
      <c r="Q889" s="153"/>
      <c r="R889" s="153"/>
      <c r="S889" s="153"/>
      <c r="T889" s="153"/>
      <c r="U889" s="153"/>
      <c r="V889" s="153"/>
      <c r="W889" s="153"/>
      <c r="X889" s="153"/>
      <c r="Y889" s="153"/>
      <c r="Z889" s="153"/>
      <c r="AA889" s="153"/>
      <c r="AB889" s="153"/>
    </row>
    <row r="890" spans="1:28" ht="15">
      <c r="A890" s="153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/>
      <c r="V890" s="153"/>
      <c r="W890" s="153"/>
      <c r="X890" s="153"/>
      <c r="Y890" s="153"/>
      <c r="Z890" s="153"/>
      <c r="AA890" s="153"/>
      <c r="AB890" s="153"/>
    </row>
    <row r="891" spans="1:28" ht="15">
      <c r="A891" s="153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153"/>
      <c r="M891" s="153"/>
      <c r="N891" s="153"/>
      <c r="O891" s="153"/>
      <c r="P891" s="153"/>
      <c r="Q891" s="153"/>
      <c r="R891" s="153"/>
      <c r="S891" s="153"/>
      <c r="T891" s="153"/>
      <c r="U891" s="153"/>
      <c r="V891" s="153"/>
      <c r="W891" s="153"/>
      <c r="X891" s="153"/>
      <c r="Y891" s="153"/>
      <c r="Z891" s="153"/>
      <c r="AA891" s="153"/>
      <c r="AB891" s="153"/>
    </row>
    <row r="892" spans="1:28" ht="15">
      <c r="A892" s="153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/>
      <c r="V892" s="153"/>
      <c r="W892" s="153"/>
      <c r="X892" s="153"/>
      <c r="Y892" s="153"/>
      <c r="Z892" s="153"/>
      <c r="AA892" s="153"/>
      <c r="AB892" s="153"/>
    </row>
    <row r="893" spans="1:28" ht="15">
      <c r="A893" s="153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53"/>
      <c r="N893" s="153"/>
      <c r="O893" s="153"/>
      <c r="P893" s="153"/>
      <c r="Q893" s="153"/>
      <c r="R893" s="153"/>
      <c r="S893" s="153"/>
      <c r="T893" s="153"/>
      <c r="U893" s="153"/>
      <c r="V893" s="153"/>
      <c r="W893" s="153"/>
      <c r="X893" s="153"/>
      <c r="Y893" s="153"/>
      <c r="Z893" s="153"/>
      <c r="AA893" s="153"/>
      <c r="AB893" s="153"/>
    </row>
    <row r="894" spans="1:28" ht="15">
      <c r="A894" s="153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/>
      <c r="V894" s="153"/>
      <c r="W894" s="153"/>
      <c r="X894" s="153"/>
      <c r="Y894" s="153"/>
      <c r="Z894" s="153"/>
      <c r="AA894" s="153"/>
      <c r="AB894" s="153"/>
    </row>
    <row r="895" spans="1:28" ht="15">
      <c r="A895" s="153"/>
      <c r="B895" s="153"/>
      <c r="C895" s="153"/>
      <c r="D895" s="153"/>
      <c r="E895" s="153"/>
      <c r="F895" s="153"/>
      <c r="G895" s="153"/>
      <c r="H895" s="153"/>
      <c r="I895" s="153"/>
      <c r="J895" s="153"/>
      <c r="K895" s="153"/>
      <c r="L895" s="153"/>
      <c r="M895" s="153"/>
      <c r="N895" s="153"/>
      <c r="O895" s="153"/>
      <c r="P895" s="153"/>
      <c r="Q895" s="153"/>
      <c r="R895" s="153"/>
      <c r="S895" s="153"/>
      <c r="T895" s="153"/>
      <c r="U895" s="153"/>
      <c r="V895" s="153"/>
      <c r="W895" s="153"/>
      <c r="X895" s="153"/>
      <c r="Y895" s="153"/>
      <c r="Z895" s="153"/>
      <c r="AA895" s="153"/>
      <c r="AB895" s="153"/>
    </row>
    <row r="896" spans="1:28" ht="15">
      <c r="A896" s="153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/>
      <c r="V896" s="153"/>
      <c r="W896" s="153"/>
      <c r="X896" s="153"/>
      <c r="Y896" s="153"/>
      <c r="Z896" s="153"/>
      <c r="AA896" s="153"/>
      <c r="AB896" s="153"/>
    </row>
    <row r="897" spans="1:28" ht="15">
      <c r="A897" s="153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153"/>
      <c r="M897" s="153"/>
      <c r="N897" s="153"/>
      <c r="O897" s="153"/>
      <c r="P897" s="153"/>
      <c r="Q897" s="153"/>
      <c r="R897" s="153"/>
      <c r="S897" s="153"/>
      <c r="T897" s="153"/>
      <c r="U897" s="153"/>
      <c r="V897" s="153"/>
      <c r="W897" s="153"/>
      <c r="X897" s="153"/>
      <c r="Y897" s="153"/>
      <c r="Z897" s="153"/>
      <c r="AA897" s="153"/>
      <c r="AB897" s="153"/>
    </row>
    <row r="898" spans="1:28" ht="15">
      <c r="A898" s="153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/>
      <c r="V898" s="153"/>
      <c r="W898" s="153"/>
      <c r="X898" s="153"/>
      <c r="Y898" s="153"/>
      <c r="Z898" s="153"/>
      <c r="AA898" s="153"/>
      <c r="AB898" s="153"/>
    </row>
    <row r="899" spans="1:28" ht="15">
      <c r="A899" s="153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153"/>
      <c r="M899" s="153"/>
      <c r="N899" s="153"/>
      <c r="O899" s="153"/>
      <c r="P899" s="153"/>
      <c r="Q899" s="153"/>
      <c r="R899" s="153"/>
      <c r="S899" s="153"/>
      <c r="T899" s="153"/>
      <c r="U899" s="153"/>
      <c r="V899" s="153"/>
      <c r="W899" s="153"/>
      <c r="X899" s="153"/>
      <c r="Y899" s="153"/>
      <c r="Z899" s="153"/>
      <c r="AA899" s="153"/>
      <c r="AB899" s="153"/>
    </row>
    <row r="900" spans="1:28" ht="15">
      <c r="A900" s="153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/>
      <c r="V900" s="153"/>
      <c r="W900" s="153"/>
      <c r="X900" s="153"/>
      <c r="Y900" s="153"/>
      <c r="Z900" s="153"/>
      <c r="AA900" s="153"/>
      <c r="AB900" s="153"/>
    </row>
    <row r="901" spans="1:28" ht="15">
      <c r="A901" s="153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153"/>
      <c r="M901" s="153"/>
      <c r="N901" s="153"/>
      <c r="O901" s="153"/>
      <c r="P901" s="153"/>
      <c r="Q901" s="153"/>
      <c r="R901" s="153"/>
      <c r="S901" s="153"/>
      <c r="T901" s="153"/>
      <c r="U901" s="153"/>
      <c r="V901" s="153"/>
      <c r="W901" s="153"/>
      <c r="X901" s="153"/>
      <c r="Y901" s="153"/>
      <c r="Z901" s="153"/>
      <c r="AA901" s="153"/>
      <c r="AB901" s="153"/>
    </row>
    <row r="902" spans="1:28" ht="15">
      <c r="A902" s="153"/>
      <c r="B902" s="153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/>
      <c r="V902" s="153"/>
      <c r="W902" s="153"/>
      <c r="X902" s="153"/>
      <c r="Y902" s="153"/>
      <c r="Z902" s="153"/>
      <c r="AA902" s="153"/>
      <c r="AB902" s="153"/>
    </row>
    <row r="903" spans="1:28" ht="15">
      <c r="A903" s="153"/>
      <c r="B903" s="153"/>
      <c r="C903" s="153"/>
      <c r="D903" s="153"/>
      <c r="E903" s="153"/>
      <c r="F903" s="153"/>
      <c r="G903" s="153"/>
      <c r="H903" s="153"/>
      <c r="I903" s="153"/>
      <c r="J903" s="153"/>
      <c r="K903" s="153"/>
      <c r="L903" s="153"/>
      <c r="M903" s="153"/>
      <c r="N903" s="153"/>
      <c r="O903" s="153"/>
      <c r="P903" s="153"/>
      <c r="Q903" s="153"/>
      <c r="R903" s="153"/>
      <c r="S903" s="153"/>
      <c r="T903" s="153"/>
      <c r="U903" s="153"/>
      <c r="V903" s="153"/>
      <c r="W903" s="153"/>
      <c r="X903" s="153"/>
      <c r="Y903" s="153"/>
      <c r="Z903" s="153"/>
      <c r="AA903" s="153"/>
      <c r="AB903" s="153"/>
    </row>
    <row r="904" spans="1:28" ht="15">
      <c r="A904" s="153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/>
      <c r="V904" s="153"/>
      <c r="W904" s="153"/>
      <c r="X904" s="153"/>
      <c r="Y904" s="153"/>
      <c r="Z904" s="153"/>
      <c r="AA904" s="153"/>
      <c r="AB904" s="153"/>
    </row>
    <row r="905" spans="1:28" ht="15">
      <c r="A905" s="153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153"/>
      <c r="M905" s="153"/>
      <c r="N905" s="153"/>
      <c r="O905" s="153"/>
      <c r="P905" s="153"/>
      <c r="Q905" s="153"/>
      <c r="R905" s="153"/>
      <c r="S905" s="153"/>
      <c r="T905" s="153"/>
      <c r="U905" s="153"/>
      <c r="V905" s="153"/>
      <c r="W905" s="153"/>
      <c r="X905" s="153"/>
      <c r="Y905" s="153"/>
      <c r="Z905" s="153"/>
      <c r="AA905" s="153"/>
      <c r="AB905" s="153"/>
    </row>
    <row r="906" spans="1:28" ht="15">
      <c r="A906" s="153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/>
      <c r="V906" s="153"/>
      <c r="W906" s="153"/>
      <c r="X906" s="153"/>
      <c r="Y906" s="153"/>
      <c r="Z906" s="153"/>
      <c r="AA906" s="153"/>
      <c r="AB906" s="153"/>
    </row>
    <row r="907" spans="1:28" ht="15">
      <c r="A907" s="153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153"/>
      <c r="M907" s="153"/>
      <c r="N907" s="153"/>
      <c r="O907" s="153"/>
      <c r="P907" s="153"/>
      <c r="Q907" s="153"/>
      <c r="R907" s="153"/>
      <c r="S907" s="153"/>
      <c r="T907" s="153"/>
      <c r="U907" s="153"/>
      <c r="V907" s="153"/>
      <c r="W907" s="153"/>
      <c r="X907" s="153"/>
      <c r="Y907" s="153"/>
      <c r="Z907" s="153"/>
      <c r="AA907" s="153"/>
      <c r="AB907" s="153"/>
    </row>
    <row r="908" spans="1:28" ht="15">
      <c r="A908" s="153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/>
      <c r="V908" s="153"/>
      <c r="W908" s="153"/>
      <c r="X908" s="153"/>
      <c r="Y908" s="153"/>
      <c r="Z908" s="153"/>
      <c r="AA908" s="153"/>
      <c r="AB908" s="153"/>
    </row>
    <row r="909" spans="1:28" ht="15">
      <c r="A909" s="153"/>
      <c r="B909" s="153"/>
      <c r="C909" s="153"/>
      <c r="D909" s="153"/>
      <c r="E909" s="153"/>
      <c r="F909" s="153"/>
      <c r="G909" s="153"/>
      <c r="H909" s="153"/>
      <c r="I909" s="153"/>
      <c r="J909" s="153"/>
      <c r="K909" s="153"/>
      <c r="L909" s="153"/>
      <c r="M909" s="153"/>
      <c r="N909" s="153"/>
      <c r="O909" s="153"/>
      <c r="P909" s="153"/>
      <c r="Q909" s="153"/>
      <c r="R909" s="153"/>
      <c r="S909" s="153"/>
      <c r="T909" s="153"/>
      <c r="U909" s="153"/>
      <c r="V909" s="153"/>
      <c r="W909" s="153"/>
      <c r="X909" s="153"/>
      <c r="Y909" s="153"/>
      <c r="Z909" s="153"/>
      <c r="AA909" s="153"/>
      <c r="AB909" s="153"/>
    </row>
    <row r="910" spans="1:28" ht="15">
      <c r="A910" s="153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/>
      <c r="V910" s="153"/>
      <c r="W910" s="153"/>
      <c r="X910" s="153"/>
      <c r="Y910" s="153"/>
      <c r="Z910" s="153"/>
      <c r="AA910" s="153"/>
      <c r="AB910" s="153"/>
    </row>
    <row r="911" spans="1:28" ht="15">
      <c r="A911" s="153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153"/>
      <c r="M911" s="153"/>
      <c r="N911" s="153"/>
      <c r="O911" s="153"/>
      <c r="P911" s="153"/>
      <c r="Q911" s="153"/>
      <c r="R911" s="153"/>
      <c r="S911" s="153"/>
      <c r="T911" s="153"/>
      <c r="U911" s="153"/>
      <c r="V911" s="153"/>
      <c r="W911" s="153"/>
      <c r="X911" s="153"/>
      <c r="Y911" s="153"/>
      <c r="Z911" s="153"/>
      <c r="AA911" s="153"/>
      <c r="AB911" s="153"/>
    </row>
    <row r="912" spans="1:28" ht="15">
      <c r="A912" s="153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/>
      <c r="V912" s="153"/>
      <c r="W912" s="153"/>
      <c r="X912" s="153"/>
      <c r="Y912" s="153"/>
      <c r="Z912" s="153"/>
      <c r="AA912" s="153"/>
      <c r="AB912" s="153"/>
    </row>
    <row r="913" spans="1:28" ht="15">
      <c r="A913" s="153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53"/>
      <c r="N913" s="153"/>
      <c r="O913" s="153"/>
      <c r="P913" s="153"/>
      <c r="Q913" s="153"/>
      <c r="R913" s="153"/>
      <c r="S913" s="153"/>
      <c r="T913" s="153"/>
      <c r="U913" s="153"/>
      <c r="V913" s="153"/>
      <c r="W913" s="153"/>
      <c r="X913" s="153"/>
      <c r="Y913" s="153"/>
      <c r="Z913" s="153"/>
      <c r="AA913" s="153"/>
      <c r="AB913" s="153"/>
    </row>
    <row r="914" spans="1:28" ht="15">
      <c r="A914" s="153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/>
      <c r="V914" s="153"/>
      <c r="W914" s="153"/>
      <c r="X914" s="153"/>
      <c r="Y914" s="153"/>
      <c r="Z914" s="153"/>
      <c r="AA914" s="153"/>
      <c r="AB914" s="153"/>
    </row>
    <row r="915" spans="1:28" ht="15">
      <c r="A915" s="153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153"/>
      <c r="M915" s="153"/>
      <c r="N915" s="153"/>
      <c r="O915" s="153"/>
      <c r="P915" s="153"/>
      <c r="Q915" s="153"/>
      <c r="R915" s="153"/>
      <c r="S915" s="153"/>
      <c r="T915" s="153"/>
      <c r="U915" s="153"/>
      <c r="V915" s="153"/>
      <c r="W915" s="153"/>
      <c r="X915" s="153"/>
      <c r="Y915" s="153"/>
      <c r="Z915" s="153"/>
      <c r="AA915" s="153"/>
      <c r="AB915" s="153"/>
    </row>
    <row r="916" spans="1:28" ht="15">
      <c r="A916" s="153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/>
      <c r="V916" s="153"/>
      <c r="W916" s="153"/>
      <c r="X916" s="153"/>
      <c r="Y916" s="153"/>
      <c r="Z916" s="153"/>
      <c r="AA916" s="153"/>
      <c r="AB916" s="153"/>
    </row>
    <row r="917" spans="1:28" ht="15">
      <c r="A917" s="153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153"/>
      <c r="M917" s="153"/>
      <c r="N917" s="153"/>
      <c r="O917" s="153"/>
      <c r="P917" s="153"/>
      <c r="Q917" s="153"/>
      <c r="R917" s="153"/>
      <c r="S917" s="153"/>
      <c r="T917" s="153"/>
      <c r="U917" s="153"/>
      <c r="V917" s="153"/>
      <c r="W917" s="153"/>
      <c r="X917" s="153"/>
      <c r="Y917" s="153"/>
      <c r="Z917" s="153"/>
      <c r="AA917" s="153"/>
      <c r="AB917" s="153"/>
    </row>
    <row r="918" spans="1:28" ht="15">
      <c r="A918" s="153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153"/>
      <c r="M918" s="153"/>
      <c r="N918" s="153"/>
      <c r="O918" s="153"/>
      <c r="P918" s="153"/>
      <c r="Q918" s="153"/>
      <c r="R918" s="153"/>
      <c r="S918" s="153"/>
      <c r="T918" s="153"/>
      <c r="U918" s="153"/>
      <c r="V918" s="153"/>
      <c r="W918" s="153"/>
      <c r="X918" s="153"/>
      <c r="Y918" s="153"/>
      <c r="Z918" s="153"/>
      <c r="AA918" s="153"/>
      <c r="AB918" s="153"/>
    </row>
    <row r="919" spans="1:28" ht="15">
      <c r="A919" s="153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153"/>
      <c r="M919" s="153"/>
      <c r="N919" s="153"/>
      <c r="O919" s="153"/>
      <c r="P919" s="153"/>
      <c r="Q919" s="153"/>
      <c r="R919" s="153"/>
      <c r="S919" s="153"/>
      <c r="T919" s="153"/>
      <c r="U919" s="153"/>
      <c r="V919" s="153"/>
      <c r="W919" s="153"/>
      <c r="X919" s="153"/>
      <c r="Y919" s="153"/>
      <c r="Z919" s="153"/>
      <c r="AA919" s="153"/>
      <c r="AB919" s="153"/>
    </row>
    <row r="920" spans="1:28" ht="15">
      <c r="A920" s="153"/>
      <c r="B920" s="153"/>
      <c r="C920" s="153"/>
      <c r="D920" s="153"/>
      <c r="E920" s="153"/>
      <c r="F920" s="153"/>
      <c r="G920" s="153"/>
      <c r="H920" s="153"/>
      <c r="I920" s="153"/>
      <c r="J920" s="153"/>
      <c r="K920" s="153"/>
      <c r="L920" s="153"/>
      <c r="M920" s="153"/>
      <c r="N920" s="153"/>
      <c r="O920" s="153"/>
      <c r="P920" s="153"/>
      <c r="Q920" s="153"/>
      <c r="R920" s="153"/>
      <c r="S920" s="153"/>
      <c r="T920" s="153"/>
      <c r="U920" s="153"/>
      <c r="V920" s="153"/>
      <c r="W920" s="153"/>
      <c r="X920" s="153"/>
      <c r="Y920" s="153"/>
      <c r="Z920" s="153"/>
      <c r="AA920" s="153"/>
      <c r="AB920" s="153"/>
    </row>
    <row r="921" spans="1:28" ht="15">
      <c r="A921" s="153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153"/>
      <c r="M921" s="153"/>
      <c r="N921" s="153"/>
      <c r="O921" s="153"/>
      <c r="P921" s="153"/>
      <c r="Q921" s="153"/>
      <c r="R921" s="153"/>
      <c r="S921" s="153"/>
      <c r="T921" s="153"/>
      <c r="U921" s="153"/>
      <c r="V921" s="153"/>
      <c r="W921" s="153"/>
      <c r="X921" s="153"/>
      <c r="Y921" s="153"/>
      <c r="Z921" s="153"/>
      <c r="AA921" s="153"/>
      <c r="AB921" s="153"/>
    </row>
    <row r="922" spans="1:28" ht="15">
      <c r="A922" s="153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153"/>
      <c r="M922" s="153"/>
      <c r="N922" s="153"/>
      <c r="O922" s="153"/>
      <c r="P922" s="153"/>
      <c r="Q922" s="153"/>
      <c r="R922" s="153"/>
      <c r="S922" s="153"/>
      <c r="T922" s="153"/>
      <c r="U922" s="153"/>
      <c r="V922" s="153"/>
      <c r="W922" s="153"/>
      <c r="X922" s="153"/>
      <c r="Y922" s="153"/>
      <c r="Z922" s="153"/>
      <c r="AA922" s="153"/>
      <c r="AB922" s="153"/>
    </row>
    <row r="923" spans="1:28" ht="15">
      <c r="A923" s="153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  <c r="M923" s="153"/>
      <c r="N923" s="153"/>
      <c r="O923" s="153"/>
      <c r="P923" s="153"/>
      <c r="Q923" s="153"/>
      <c r="R923" s="153"/>
      <c r="S923" s="153"/>
      <c r="T923" s="153"/>
      <c r="U923" s="153"/>
      <c r="V923" s="153"/>
      <c r="W923" s="153"/>
      <c r="X923" s="153"/>
      <c r="Y923" s="153"/>
      <c r="Z923" s="153"/>
      <c r="AA923" s="153"/>
      <c r="AB923" s="153"/>
    </row>
    <row r="924" spans="1:28" ht="15">
      <c r="A924" s="153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153"/>
      <c r="P924" s="153"/>
      <c r="Q924" s="153"/>
      <c r="R924" s="153"/>
      <c r="S924" s="153"/>
      <c r="T924" s="153"/>
      <c r="U924" s="153"/>
      <c r="V924" s="153"/>
      <c r="W924" s="153"/>
      <c r="X924" s="153"/>
      <c r="Y924" s="153"/>
      <c r="Z924" s="153"/>
      <c r="AA924" s="153"/>
      <c r="AB924" s="153"/>
    </row>
    <row r="925" spans="1:28" ht="15">
      <c r="A925" s="153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153"/>
      <c r="P925" s="153"/>
      <c r="Q925" s="153"/>
      <c r="R925" s="153"/>
      <c r="S925" s="153"/>
      <c r="T925" s="153"/>
      <c r="U925" s="153"/>
      <c r="V925" s="153"/>
      <c r="W925" s="153"/>
      <c r="X925" s="153"/>
      <c r="Y925" s="153"/>
      <c r="Z925" s="153"/>
      <c r="AA925" s="153"/>
      <c r="AB925" s="153"/>
    </row>
    <row r="926" spans="1:28" ht="15">
      <c r="A926" s="153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  <c r="M926" s="153"/>
      <c r="N926" s="153"/>
      <c r="O926" s="153"/>
      <c r="P926" s="153"/>
      <c r="Q926" s="153"/>
      <c r="R926" s="153"/>
      <c r="S926" s="153"/>
      <c r="T926" s="153"/>
      <c r="U926" s="153"/>
      <c r="V926" s="153"/>
      <c r="W926" s="153"/>
      <c r="X926" s="153"/>
      <c r="Y926" s="153"/>
      <c r="Z926" s="153"/>
      <c r="AA926" s="153"/>
      <c r="AB926" s="153"/>
    </row>
    <row r="927" spans="1:28" ht="15">
      <c r="A927" s="153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153"/>
      <c r="M927" s="153"/>
      <c r="N927" s="153"/>
      <c r="O927" s="153"/>
      <c r="P927" s="153"/>
      <c r="Q927" s="153"/>
      <c r="R927" s="153"/>
      <c r="S927" s="153"/>
      <c r="T927" s="153"/>
      <c r="U927" s="153"/>
      <c r="V927" s="153"/>
      <c r="W927" s="153"/>
      <c r="X927" s="153"/>
      <c r="Y927" s="153"/>
      <c r="Z927" s="153"/>
      <c r="AA927" s="153"/>
      <c r="AB927" s="153"/>
    </row>
    <row r="928" spans="1:28" ht="15">
      <c r="A928" s="153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153"/>
      <c r="M928" s="153"/>
      <c r="N928" s="153"/>
      <c r="O928" s="153"/>
      <c r="P928" s="153"/>
      <c r="Q928" s="153"/>
      <c r="R928" s="153"/>
      <c r="S928" s="153"/>
      <c r="T928" s="153"/>
      <c r="U928" s="153"/>
      <c r="V928" s="153"/>
      <c r="W928" s="153"/>
      <c r="X928" s="153"/>
      <c r="Y928" s="153"/>
      <c r="Z928" s="153"/>
      <c r="AA928" s="153"/>
      <c r="AB928" s="153"/>
    </row>
    <row r="929" spans="1:28" ht="15">
      <c r="A929" s="153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  <c r="M929" s="153"/>
      <c r="N929" s="153"/>
      <c r="O929" s="153"/>
      <c r="P929" s="153"/>
      <c r="Q929" s="153"/>
      <c r="R929" s="153"/>
      <c r="S929" s="153"/>
      <c r="T929" s="153"/>
      <c r="U929" s="153"/>
      <c r="V929" s="153"/>
      <c r="W929" s="153"/>
      <c r="X929" s="153"/>
      <c r="Y929" s="153"/>
      <c r="Z929" s="153"/>
      <c r="AA929" s="153"/>
      <c r="AB929" s="153"/>
    </row>
    <row r="930" spans="1:28" ht="15">
      <c r="A930" s="153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153"/>
      <c r="M930" s="153"/>
      <c r="N930" s="153"/>
      <c r="O930" s="153"/>
      <c r="P930" s="153"/>
      <c r="Q930" s="153"/>
      <c r="R930" s="153"/>
      <c r="S930" s="153"/>
      <c r="T930" s="153"/>
      <c r="U930" s="153"/>
      <c r="V930" s="153"/>
      <c r="W930" s="153"/>
      <c r="X930" s="153"/>
      <c r="Y930" s="153"/>
      <c r="Z930" s="153"/>
      <c r="AA930" s="153"/>
      <c r="AB930" s="153"/>
    </row>
    <row r="931" spans="1:28" ht="15">
      <c r="A931" s="153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153"/>
      <c r="M931" s="153"/>
      <c r="N931" s="153"/>
      <c r="O931" s="153"/>
      <c r="P931" s="153"/>
      <c r="Q931" s="153"/>
      <c r="R931" s="153"/>
      <c r="S931" s="153"/>
      <c r="T931" s="153"/>
      <c r="U931" s="153"/>
      <c r="V931" s="153"/>
      <c r="W931" s="153"/>
      <c r="X931" s="153"/>
      <c r="Y931" s="153"/>
      <c r="Z931" s="153"/>
      <c r="AA931" s="153"/>
      <c r="AB931" s="153"/>
    </row>
    <row r="932" spans="1:28" ht="15">
      <c r="A932" s="153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  <c r="M932" s="153"/>
      <c r="N932" s="153"/>
      <c r="O932" s="153"/>
      <c r="P932" s="153"/>
      <c r="Q932" s="153"/>
      <c r="R932" s="153"/>
      <c r="S932" s="153"/>
      <c r="T932" s="153"/>
      <c r="U932" s="153"/>
      <c r="V932" s="153"/>
      <c r="W932" s="153"/>
      <c r="X932" s="153"/>
      <c r="Y932" s="153"/>
      <c r="Z932" s="153"/>
      <c r="AA932" s="153"/>
      <c r="AB932" s="153"/>
    </row>
    <row r="933" spans="1:28" ht="15">
      <c r="A933" s="153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153"/>
      <c r="M933" s="153"/>
      <c r="N933" s="153"/>
      <c r="O933" s="153"/>
      <c r="P933" s="153"/>
      <c r="Q933" s="153"/>
      <c r="R933" s="153"/>
      <c r="S933" s="153"/>
      <c r="T933" s="153"/>
      <c r="U933" s="153"/>
      <c r="V933" s="153"/>
      <c r="W933" s="153"/>
      <c r="X933" s="153"/>
      <c r="Y933" s="153"/>
      <c r="Z933" s="153"/>
      <c r="AA933" s="153"/>
      <c r="AB933" s="153"/>
    </row>
    <row r="934" spans="1:28" ht="15">
      <c r="A934" s="153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153"/>
      <c r="M934" s="153"/>
      <c r="N934" s="153"/>
      <c r="O934" s="153"/>
      <c r="P934" s="153"/>
      <c r="Q934" s="153"/>
      <c r="R934" s="153"/>
      <c r="S934" s="153"/>
      <c r="T934" s="153"/>
      <c r="U934" s="153"/>
      <c r="V934" s="153"/>
      <c r="W934" s="153"/>
      <c r="X934" s="153"/>
      <c r="Y934" s="153"/>
      <c r="Z934" s="153"/>
      <c r="AA934" s="153"/>
      <c r="AB934" s="153"/>
    </row>
    <row r="935" spans="1:28" ht="15">
      <c r="A935" s="153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53"/>
      <c r="N935" s="153"/>
      <c r="O935" s="153"/>
      <c r="P935" s="153"/>
      <c r="Q935" s="153"/>
      <c r="R935" s="153"/>
      <c r="S935" s="153"/>
      <c r="T935" s="153"/>
      <c r="U935" s="153"/>
      <c r="V935" s="153"/>
      <c r="W935" s="153"/>
      <c r="X935" s="153"/>
      <c r="Y935" s="153"/>
      <c r="Z935" s="153"/>
      <c r="AA935" s="153"/>
      <c r="AB935" s="153"/>
    </row>
    <row r="936" spans="1:28" ht="15">
      <c r="A936" s="153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153"/>
      <c r="M936" s="153"/>
      <c r="N936" s="153"/>
      <c r="O936" s="153"/>
      <c r="P936" s="153"/>
      <c r="Q936" s="153"/>
      <c r="R936" s="153"/>
      <c r="S936" s="153"/>
      <c r="T936" s="153"/>
      <c r="U936" s="153"/>
      <c r="V936" s="153"/>
      <c r="W936" s="153"/>
      <c r="X936" s="153"/>
      <c r="Y936" s="153"/>
      <c r="Z936" s="153"/>
      <c r="AA936" s="153"/>
      <c r="AB936" s="153"/>
    </row>
    <row r="937" spans="1:28" ht="15">
      <c r="A937" s="153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153"/>
      <c r="M937" s="153"/>
      <c r="N937" s="153"/>
      <c r="O937" s="153"/>
      <c r="P937" s="153"/>
      <c r="Q937" s="153"/>
      <c r="R937" s="153"/>
      <c r="S937" s="153"/>
      <c r="T937" s="153"/>
      <c r="U937" s="153"/>
      <c r="V937" s="153"/>
      <c r="W937" s="153"/>
      <c r="X937" s="153"/>
      <c r="Y937" s="153"/>
      <c r="Z937" s="153"/>
      <c r="AA937" s="153"/>
      <c r="AB937" s="153"/>
    </row>
    <row r="938" spans="1:28" ht="15">
      <c r="A938" s="153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  <c r="M938" s="153"/>
      <c r="N938" s="153"/>
      <c r="O938" s="153"/>
      <c r="P938" s="153"/>
      <c r="Q938" s="153"/>
      <c r="R938" s="153"/>
      <c r="S938" s="153"/>
      <c r="T938" s="153"/>
      <c r="U938" s="153"/>
      <c r="V938" s="153"/>
      <c r="W938" s="153"/>
      <c r="X938" s="153"/>
      <c r="Y938" s="153"/>
      <c r="Z938" s="153"/>
      <c r="AA938" s="153"/>
      <c r="AB938" s="153"/>
    </row>
    <row r="939" spans="1:28" ht="15">
      <c r="A939" s="153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153"/>
      <c r="M939" s="153"/>
      <c r="N939" s="153"/>
      <c r="O939" s="153"/>
      <c r="P939" s="153"/>
      <c r="Q939" s="153"/>
      <c r="R939" s="153"/>
      <c r="S939" s="153"/>
      <c r="T939" s="153"/>
      <c r="U939" s="153"/>
      <c r="V939" s="153"/>
      <c r="W939" s="153"/>
      <c r="X939" s="153"/>
      <c r="Y939" s="153"/>
      <c r="Z939" s="153"/>
      <c r="AA939" s="153"/>
      <c r="AB939" s="153"/>
    </row>
    <row r="940" spans="1:28" ht="15">
      <c r="A940" s="153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153"/>
      <c r="M940" s="153"/>
      <c r="N940" s="153"/>
      <c r="O940" s="153"/>
      <c r="P940" s="153"/>
      <c r="Q940" s="153"/>
      <c r="R940" s="153"/>
      <c r="S940" s="153"/>
      <c r="T940" s="153"/>
      <c r="U940" s="153"/>
      <c r="V940" s="153"/>
      <c r="W940" s="153"/>
      <c r="X940" s="153"/>
      <c r="Y940" s="153"/>
      <c r="Z940" s="153"/>
      <c r="AA940" s="153"/>
      <c r="AB940" s="153"/>
    </row>
    <row r="941" spans="1:28" ht="15">
      <c r="A941" s="153"/>
      <c r="B941" s="153"/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  <c r="M941" s="153"/>
      <c r="N941" s="153"/>
      <c r="O941" s="153"/>
      <c r="P941" s="153"/>
      <c r="Q941" s="153"/>
      <c r="R941" s="153"/>
      <c r="S941" s="153"/>
      <c r="T941" s="153"/>
      <c r="U941" s="153"/>
      <c r="V941" s="153"/>
      <c r="W941" s="153"/>
      <c r="X941" s="153"/>
      <c r="Y941" s="153"/>
      <c r="Z941" s="153"/>
      <c r="AA941" s="153"/>
      <c r="AB941" s="153"/>
    </row>
    <row r="942" spans="1:28" ht="15">
      <c r="A942" s="153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153"/>
      <c r="M942" s="153"/>
      <c r="N942" s="153"/>
      <c r="O942" s="153"/>
      <c r="P942" s="153"/>
      <c r="Q942" s="153"/>
      <c r="R942" s="153"/>
      <c r="S942" s="153"/>
      <c r="T942" s="153"/>
      <c r="U942" s="153"/>
      <c r="V942" s="153"/>
      <c r="W942" s="153"/>
      <c r="X942" s="153"/>
      <c r="Y942" s="153"/>
      <c r="Z942" s="153"/>
      <c r="AA942" s="153"/>
      <c r="AB942" s="153"/>
    </row>
    <row r="943" spans="1:28" ht="15">
      <c r="A943" s="153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153"/>
      <c r="M943" s="153"/>
      <c r="N943" s="153"/>
      <c r="O943" s="153"/>
      <c r="P943" s="153"/>
      <c r="Q943" s="153"/>
      <c r="R943" s="153"/>
      <c r="S943" s="153"/>
      <c r="T943" s="153"/>
      <c r="U943" s="153"/>
      <c r="V943" s="153"/>
      <c r="W943" s="153"/>
      <c r="X943" s="153"/>
      <c r="Y943" s="153"/>
      <c r="Z943" s="153"/>
      <c r="AA943" s="153"/>
      <c r="AB943" s="153"/>
    </row>
    <row r="944" spans="1:28" ht="15">
      <c r="A944" s="153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  <c r="M944" s="153"/>
      <c r="N944" s="153"/>
      <c r="O944" s="153"/>
      <c r="P944" s="153"/>
      <c r="Q944" s="153"/>
      <c r="R944" s="153"/>
      <c r="S944" s="153"/>
      <c r="T944" s="153"/>
      <c r="U944" s="153"/>
      <c r="V944" s="153"/>
      <c r="W944" s="153"/>
      <c r="X944" s="153"/>
      <c r="Y944" s="153"/>
      <c r="Z944" s="153"/>
      <c r="AA944" s="153"/>
      <c r="AB944" s="153"/>
    </row>
    <row r="945" spans="1:28" ht="15">
      <c r="A945" s="153"/>
      <c r="B945" s="153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53"/>
      <c r="N945" s="153"/>
      <c r="O945" s="153"/>
      <c r="P945" s="153"/>
      <c r="Q945" s="153"/>
      <c r="R945" s="153"/>
      <c r="S945" s="153"/>
      <c r="T945" s="153"/>
      <c r="U945" s="153"/>
      <c r="V945" s="153"/>
      <c r="W945" s="153"/>
      <c r="X945" s="153"/>
      <c r="Y945" s="153"/>
      <c r="Z945" s="153"/>
      <c r="AA945" s="153"/>
      <c r="AB945" s="153"/>
    </row>
    <row r="946" spans="1:28" ht="15">
      <c r="A946" s="153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153"/>
      <c r="M946" s="153"/>
      <c r="N946" s="153"/>
      <c r="O946" s="153"/>
      <c r="P946" s="153"/>
      <c r="Q946" s="153"/>
      <c r="R946" s="153"/>
      <c r="S946" s="153"/>
      <c r="T946" s="153"/>
      <c r="U946" s="153"/>
      <c r="V946" s="153"/>
      <c r="W946" s="153"/>
      <c r="X946" s="153"/>
      <c r="Y946" s="153"/>
      <c r="Z946" s="153"/>
      <c r="AA946" s="153"/>
      <c r="AB946" s="153"/>
    </row>
    <row r="947" spans="1:28" ht="15">
      <c r="A947" s="153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  <c r="M947" s="153"/>
      <c r="N947" s="153"/>
      <c r="O947" s="153"/>
      <c r="P947" s="153"/>
      <c r="Q947" s="153"/>
      <c r="R947" s="153"/>
      <c r="S947" s="153"/>
      <c r="T947" s="153"/>
      <c r="U947" s="153"/>
      <c r="V947" s="153"/>
      <c r="W947" s="153"/>
      <c r="X947" s="153"/>
      <c r="Y947" s="153"/>
      <c r="Z947" s="153"/>
      <c r="AA947" s="153"/>
      <c r="AB947" s="153"/>
    </row>
    <row r="948" spans="1:28" ht="15">
      <c r="A948" s="153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153"/>
      <c r="M948" s="153"/>
      <c r="N948" s="153"/>
      <c r="O948" s="153"/>
      <c r="P948" s="153"/>
      <c r="Q948" s="153"/>
      <c r="R948" s="153"/>
      <c r="S948" s="153"/>
      <c r="T948" s="153"/>
      <c r="U948" s="153"/>
      <c r="V948" s="153"/>
      <c r="W948" s="153"/>
      <c r="X948" s="153"/>
      <c r="Y948" s="153"/>
      <c r="Z948" s="153"/>
      <c r="AA948" s="153"/>
      <c r="AB948" s="153"/>
    </row>
    <row r="949" spans="1:28" ht="15">
      <c r="A949" s="153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153"/>
      <c r="M949" s="153"/>
      <c r="N949" s="153"/>
      <c r="O949" s="153"/>
      <c r="P949" s="153"/>
      <c r="Q949" s="153"/>
      <c r="R949" s="153"/>
      <c r="S949" s="153"/>
      <c r="T949" s="153"/>
      <c r="U949" s="153"/>
      <c r="V949" s="153"/>
      <c r="W949" s="153"/>
      <c r="X949" s="153"/>
      <c r="Y949" s="153"/>
      <c r="Z949" s="153"/>
      <c r="AA949" s="153"/>
      <c r="AB949" s="153"/>
    </row>
    <row r="950" spans="1:28" ht="15">
      <c r="A950" s="153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153"/>
      <c r="M950" s="153"/>
      <c r="N950" s="153"/>
      <c r="O950" s="153"/>
      <c r="P950" s="153"/>
      <c r="Q950" s="153"/>
      <c r="R950" s="153"/>
      <c r="S950" s="153"/>
      <c r="T950" s="153"/>
      <c r="U950" s="153"/>
      <c r="V950" s="153"/>
      <c r="W950" s="153"/>
      <c r="X950" s="153"/>
      <c r="Y950" s="153"/>
      <c r="Z950" s="153"/>
      <c r="AA950" s="153"/>
      <c r="AB950" s="153"/>
    </row>
    <row r="951" spans="1:28" ht="15">
      <c r="A951" s="153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  <c r="M951" s="153"/>
      <c r="N951" s="153"/>
      <c r="O951" s="153"/>
      <c r="P951" s="153"/>
      <c r="Q951" s="153"/>
      <c r="R951" s="153"/>
      <c r="S951" s="153"/>
      <c r="T951" s="153"/>
      <c r="U951" s="153"/>
      <c r="V951" s="153"/>
      <c r="W951" s="153"/>
      <c r="X951" s="153"/>
      <c r="Y951" s="153"/>
      <c r="Z951" s="153"/>
      <c r="AA951" s="153"/>
      <c r="AB951" s="153"/>
    </row>
    <row r="952" spans="1:28" ht="15">
      <c r="A952" s="153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3"/>
      <c r="P952" s="153"/>
      <c r="Q952" s="153"/>
      <c r="R952" s="153"/>
      <c r="S952" s="153"/>
      <c r="T952" s="153"/>
      <c r="U952" s="153"/>
      <c r="V952" s="153"/>
      <c r="W952" s="153"/>
      <c r="X952" s="153"/>
      <c r="Y952" s="153"/>
      <c r="Z952" s="153"/>
      <c r="AA952" s="153"/>
      <c r="AB952" s="153"/>
    </row>
    <row r="953" spans="1:28" ht="15">
      <c r="A953" s="153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3"/>
      <c r="P953" s="153"/>
      <c r="Q953" s="153"/>
      <c r="R953" s="153"/>
      <c r="S953" s="153"/>
      <c r="T953" s="153"/>
      <c r="U953" s="153"/>
      <c r="V953" s="153"/>
      <c r="W953" s="153"/>
      <c r="X953" s="153"/>
      <c r="Y953" s="153"/>
      <c r="Z953" s="153"/>
      <c r="AA953" s="153"/>
      <c r="AB953" s="153"/>
    </row>
    <row r="954" spans="1:28" ht="15">
      <c r="A954" s="153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153"/>
      <c r="M954" s="153"/>
      <c r="N954" s="153"/>
      <c r="O954" s="153"/>
      <c r="P954" s="153"/>
      <c r="Q954" s="153"/>
      <c r="R954" s="153"/>
      <c r="S954" s="153"/>
      <c r="T954" s="153"/>
      <c r="U954" s="153"/>
      <c r="V954" s="153"/>
      <c r="W954" s="153"/>
      <c r="X954" s="153"/>
      <c r="Y954" s="153"/>
      <c r="Z954" s="153"/>
      <c r="AA954" s="153"/>
      <c r="AB954" s="153"/>
    </row>
    <row r="955" spans="1:28" ht="15">
      <c r="A955" s="153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3"/>
      <c r="P955" s="153"/>
      <c r="Q955" s="153"/>
      <c r="R955" s="153"/>
      <c r="S955" s="153"/>
      <c r="T955" s="153"/>
      <c r="U955" s="153"/>
      <c r="V955" s="153"/>
      <c r="W955" s="153"/>
      <c r="X955" s="153"/>
      <c r="Y955" s="153"/>
      <c r="Z955" s="153"/>
      <c r="AA955" s="153"/>
      <c r="AB955" s="153"/>
    </row>
    <row r="956" spans="1:28" ht="15">
      <c r="A956" s="153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3"/>
      <c r="P956" s="153"/>
      <c r="Q956" s="153"/>
      <c r="R956" s="153"/>
      <c r="S956" s="153"/>
      <c r="T956" s="153"/>
      <c r="U956" s="153"/>
      <c r="V956" s="153"/>
      <c r="W956" s="153"/>
      <c r="X956" s="153"/>
      <c r="Y956" s="153"/>
      <c r="Z956" s="153"/>
      <c r="AA956" s="153"/>
      <c r="AB956" s="153"/>
    </row>
    <row r="957" spans="1:28" ht="15">
      <c r="A957" s="153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3"/>
      <c r="P957" s="153"/>
      <c r="Q957" s="153"/>
      <c r="R957" s="153"/>
      <c r="S957" s="153"/>
      <c r="T957" s="153"/>
      <c r="U957" s="153"/>
      <c r="V957" s="153"/>
      <c r="W957" s="153"/>
      <c r="X957" s="153"/>
      <c r="Y957" s="153"/>
      <c r="Z957" s="153"/>
      <c r="AA957" s="153"/>
      <c r="AB957" s="153"/>
    </row>
    <row r="958" spans="1:28" ht="15">
      <c r="A958" s="153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153"/>
      <c r="M958" s="153"/>
      <c r="N958" s="153"/>
      <c r="O958" s="153"/>
      <c r="P958" s="153"/>
      <c r="Q958" s="153"/>
      <c r="R958" s="153"/>
      <c r="S958" s="153"/>
      <c r="T958" s="153"/>
      <c r="U958" s="153"/>
      <c r="V958" s="153"/>
      <c r="W958" s="153"/>
      <c r="X958" s="153"/>
      <c r="Y958" s="153"/>
      <c r="Z958" s="153"/>
      <c r="AA958" s="153"/>
      <c r="AB958" s="153"/>
    </row>
    <row r="959" spans="1:28" ht="15">
      <c r="A959" s="153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53"/>
      <c r="N959" s="153"/>
      <c r="O959" s="153"/>
      <c r="P959" s="153"/>
      <c r="Q959" s="153"/>
      <c r="R959" s="153"/>
      <c r="S959" s="153"/>
      <c r="T959" s="153"/>
      <c r="U959" s="153"/>
      <c r="V959" s="153"/>
      <c r="W959" s="153"/>
      <c r="X959" s="153"/>
      <c r="Y959" s="153"/>
      <c r="Z959" s="153"/>
      <c r="AA959" s="153"/>
      <c r="AB959" s="153"/>
    </row>
    <row r="960" spans="1:28" ht="15">
      <c r="A960" s="153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153"/>
      <c r="P960" s="153"/>
      <c r="Q960" s="153"/>
      <c r="R960" s="153"/>
      <c r="S960" s="153"/>
      <c r="T960" s="153"/>
      <c r="U960" s="153"/>
      <c r="V960" s="153"/>
      <c r="W960" s="153"/>
      <c r="X960" s="153"/>
      <c r="Y960" s="153"/>
      <c r="Z960" s="153"/>
      <c r="AA960" s="153"/>
      <c r="AB960" s="153"/>
    </row>
    <row r="961" spans="1:28" ht="15">
      <c r="A961" s="153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153"/>
      <c r="P961" s="153"/>
      <c r="Q961" s="153"/>
      <c r="R961" s="153"/>
      <c r="S961" s="153"/>
      <c r="T961" s="153"/>
      <c r="U961" s="153"/>
      <c r="V961" s="153"/>
      <c r="W961" s="153"/>
      <c r="X961" s="153"/>
      <c r="Y961" s="153"/>
      <c r="Z961" s="153"/>
      <c r="AA961" s="153"/>
      <c r="AB961" s="153"/>
    </row>
    <row r="962" spans="1:28" ht="15">
      <c r="A962" s="153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153"/>
      <c r="P962" s="153"/>
      <c r="Q962" s="153"/>
      <c r="R962" s="153"/>
      <c r="S962" s="153"/>
      <c r="T962" s="153"/>
      <c r="U962" s="153"/>
      <c r="V962" s="153"/>
      <c r="W962" s="153"/>
      <c r="X962" s="153"/>
      <c r="Y962" s="153"/>
      <c r="Z962" s="153"/>
      <c r="AA962" s="153"/>
      <c r="AB962" s="153"/>
    </row>
    <row r="963" spans="1:28" ht="15">
      <c r="A963" s="153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153"/>
      <c r="P963" s="153"/>
      <c r="Q963" s="153"/>
      <c r="R963" s="153"/>
      <c r="S963" s="153"/>
      <c r="T963" s="153"/>
      <c r="U963" s="153"/>
      <c r="V963" s="153"/>
      <c r="W963" s="153"/>
      <c r="X963" s="153"/>
      <c r="Y963" s="153"/>
      <c r="Z963" s="153"/>
      <c r="AA963" s="153"/>
      <c r="AB963" s="153"/>
    </row>
    <row r="964" spans="1:28" ht="15">
      <c r="A964" s="153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153"/>
      <c r="P964" s="153"/>
      <c r="Q964" s="153"/>
      <c r="R964" s="153"/>
      <c r="S964" s="153"/>
      <c r="T964" s="153"/>
      <c r="U964" s="153"/>
      <c r="V964" s="153"/>
      <c r="W964" s="153"/>
      <c r="X964" s="153"/>
      <c r="Y964" s="153"/>
      <c r="Z964" s="153"/>
      <c r="AA964" s="153"/>
      <c r="AB964" s="153"/>
    </row>
    <row r="965" spans="1:28" ht="15">
      <c r="A965" s="153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153"/>
      <c r="P965" s="153"/>
      <c r="Q965" s="153"/>
      <c r="R965" s="153"/>
      <c r="S965" s="153"/>
      <c r="T965" s="153"/>
      <c r="U965" s="153"/>
      <c r="V965" s="153"/>
      <c r="W965" s="153"/>
      <c r="X965" s="153"/>
      <c r="Y965" s="153"/>
      <c r="Z965" s="153"/>
      <c r="AA965" s="153"/>
      <c r="AB965" s="153"/>
    </row>
    <row r="966" spans="1:28" ht="15">
      <c r="A966" s="153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153"/>
      <c r="M966" s="153"/>
      <c r="N966" s="153"/>
      <c r="O966" s="153"/>
      <c r="P966" s="153"/>
      <c r="Q966" s="153"/>
      <c r="R966" s="153"/>
      <c r="S966" s="153"/>
      <c r="T966" s="153"/>
      <c r="U966" s="153"/>
      <c r="V966" s="153"/>
      <c r="W966" s="153"/>
      <c r="X966" s="153"/>
      <c r="Y966" s="153"/>
      <c r="Z966" s="153"/>
      <c r="AA966" s="153"/>
      <c r="AB966" s="153"/>
    </row>
    <row r="967" spans="1:28" ht="15">
      <c r="A967" s="153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153"/>
      <c r="P967" s="153"/>
      <c r="Q967" s="153"/>
      <c r="R967" s="153"/>
      <c r="S967" s="153"/>
      <c r="T967" s="153"/>
      <c r="U967" s="153"/>
      <c r="V967" s="153"/>
      <c r="W967" s="153"/>
      <c r="X967" s="153"/>
      <c r="Y967" s="153"/>
      <c r="Z967" s="153"/>
      <c r="AA967" s="153"/>
      <c r="AB967" s="153"/>
    </row>
    <row r="968" spans="1:28" ht="15">
      <c r="A968" s="153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153"/>
      <c r="P968" s="153"/>
      <c r="Q968" s="153"/>
      <c r="R968" s="153"/>
      <c r="S968" s="153"/>
      <c r="T968" s="153"/>
      <c r="U968" s="153"/>
      <c r="V968" s="153"/>
      <c r="W968" s="153"/>
      <c r="X968" s="153"/>
      <c r="Y968" s="153"/>
      <c r="Z968" s="153"/>
      <c r="AA968" s="153"/>
      <c r="AB968" s="153"/>
    </row>
    <row r="969" spans="1:28" ht="15">
      <c r="A969" s="153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153"/>
      <c r="M969" s="153"/>
      <c r="N969" s="153"/>
      <c r="O969" s="153"/>
      <c r="P969" s="153"/>
      <c r="Q969" s="153"/>
      <c r="R969" s="153"/>
      <c r="S969" s="153"/>
      <c r="T969" s="153"/>
      <c r="U969" s="153"/>
      <c r="V969" s="153"/>
      <c r="W969" s="153"/>
      <c r="X969" s="153"/>
      <c r="Y969" s="153"/>
      <c r="Z969" s="153"/>
      <c r="AA969" s="153"/>
      <c r="AB969" s="153"/>
    </row>
    <row r="970" spans="1:28" ht="15">
      <c r="A970" s="153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53"/>
      <c r="N970" s="153"/>
      <c r="O970" s="153"/>
      <c r="P970" s="153"/>
      <c r="Q970" s="153"/>
      <c r="R970" s="153"/>
      <c r="S970" s="153"/>
      <c r="T970" s="153"/>
      <c r="U970" s="153"/>
      <c r="V970" s="153"/>
      <c r="W970" s="153"/>
      <c r="X970" s="153"/>
      <c r="Y970" s="153"/>
      <c r="Z970" s="153"/>
      <c r="AA970" s="153"/>
      <c r="AB970" s="153"/>
    </row>
    <row r="971" spans="1:28" ht="15">
      <c r="A971" s="153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53"/>
      <c r="N971" s="153"/>
      <c r="O971" s="153"/>
      <c r="P971" s="153"/>
      <c r="Q971" s="153"/>
      <c r="R971" s="153"/>
      <c r="S971" s="153"/>
      <c r="T971" s="153"/>
      <c r="U971" s="153"/>
      <c r="V971" s="153"/>
      <c r="W971" s="153"/>
      <c r="X971" s="153"/>
      <c r="Y971" s="153"/>
      <c r="Z971" s="153"/>
      <c r="AA971" s="153"/>
      <c r="AB971" s="153"/>
    </row>
    <row r="972" spans="1:28" ht="15">
      <c r="A972" s="153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53"/>
      <c r="N972" s="153"/>
      <c r="O972" s="153"/>
      <c r="P972" s="153"/>
      <c r="Q972" s="153"/>
      <c r="R972" s="153"/>
      <c r="S972" s="153"/>
      <c r="T972" s="153"/>
      <c r="U972" s="153"/>
      <c r="V972" s="153"/>
      <c r="W972" s="153"/>
      <c r="X972" s="153"/>
      <c r="Y972" s="153"/>
      <c r="Z972" s="153"/>
      <c r="AA972" s="153"/>
      <c r="AB972" s="153"/>
    </row>
    <row r="973" spans="1:28" ht="15">
      <c r="A973" s="153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153"/>
      <c r="P973" s="153"/>
      <c r="Q973" s="153"/>
      <c r="R973" s="153"/>
      <c r="S973" s="153"/>
      <c r="T973" s="153"/>
      <c r="U973" s="153"/>
      <c r="V973" s="153"/>
      <c r="W973" s="153"/>
      <c r="X973" s="153"/>
      <c r="Y973" s="153"/>
      <c r="Z973" s="153"/>
      <c r="AA973" s="153"/>
      <c r="AB973" s="153"/>
    </row>
    <row r="974" spans="1:28" ht="15">
      <c r="A974" s="153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153"/>
      <c r="P974" s="153"/>
      <c r="Q974" s="153"/>
      <c r="R974" s="153"/>
      <c r="S974" s="153"/>
      <c r="T974" s="153"/>
      <c r="U974" s="153"/>
      <c r="V974" s="153"/>
      <c r="W974" s="153"/>
      <c r="X974" s="153"/>
      <c r="Y974" s="153"/>
      <c r="Z974" s="153"/>
      <c r="AA974" s="153"/>
      <c r="AB974" s="153"/>
    </row>
    <row r="975" spans="1:28" ht="15">
      <c r="A975" s="153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153"/>
      <c r="P975" s="153"/>
      <c r="Q975" s="153"/>
      <c r="R975" s="153"/>
      <c r="S975" s="153"/>
      <c r="T975" s="153"/>
      <c r="U975" s="153"/>
      <c r="V975" s="153"/>
      <c r="W975" s="153"/>
      <c r="X975" s="153"/>
      <c r="Y975" s="153"/>
      <c r="Z975" s="153"/>
      <c r="AA975" s="153"/>
      <c r="AB975" s="153"/>
    </row>
    <row r="976" spans="1:28" ht="15">
      <c r="A976" s="153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153"/>
      <c r="M976" s="153"/>
      <c r="N976" s="153"/>
      <c r="O976" s="153"/>
      <c r="P976" s="153"/>
      <c r="Q976" s="153"/>
      <c r="R976" s="153"/>
      <c r="S976" s="153"/>
      <c r="T976" s="153"/>
      <c r="U976" s="153"/>
      <c r="V976" s="153"/>
      <c r="W976" s="153"/>
      <c r="X976" s="153"/>
      <c r="Y976" s="153"/>
      <c r="Z976" s="153"/>
      <c r="AA976" s="153"/>
      <c r="AB976" s="153"/>
    </row>
    <row r="977" spans="1:28" ht="15">
      <c r="A977" s="153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53"/>
      <c r="P977" s="153"/>
      <c r="Q977" s="153"/>
      <c r="R977" s="153"/>
      <c r="S977" s="153"/>
      <c r="T977" s="153"/>
      <c r="U977" s="153"/>
      <c r="V977" s="153"/>
      <c r="W977" s="153"/>
      <c r="X977" s="153"/>
      <c r="Y977" s="153"/>
      <c r="Z977" s="153"/>
      <c r="AA977" s="153"/>
      <c r="AB977" s="153"/>
    </row>
    <row r="978" spans="1:28" ht="15">
      <c r="A978" s="153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53"/>
      <c r="P978" s="153"/>
      <c r="Q978" s="153"/>
      <c r="R978" s="153"/>
      <c r="S978" s="153"/>
      <c r="T978" s="153"/>
      <c r="U978" s="153"/>
      <c r="V978" s="153"/>
      <c r="W978" s="153"/>
      <c r="X978" s="153"/>
      <c r="Y978" s="153"/>
      <c r="Z978" s="153"/>
      <c r="AA978" s="153"/>
      <c r="AB978" s="153"/>
    </row>
    <row r="979" spans="1:28" ht="15">
      <c r="A979" s="153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53"/>
      <c r="P979" s="153"/>
      <c r="Q979" s="153"/>
      <c r="R979" s="153"/>
      <c r="S979" s="153"/>
      <c r="T979" s="153"/>
      <c r="U979" s="153"/>
      <c r="V979" s="153"/>
      <c r="W979" s="153"/>
      <c r="X979" s="153"/>
      <c r="Y979" s="153"/>
      <c r="Z979" s="153"/>
      <c r="AA979" s="153"/>
      <c r="AB979" s="153"/>
    </row>
    <row r="980" spans="1:28" ht="15">
      <c r="A980" s="153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153"/>
      <c r="M980" s="153"/>
      <c r="N980" s="153"/>
      <c r="O980" s="153"/>
      <c r="P980" s="153"/>
      <c r="Q980" s="153"/>
      <c r="R980" s="153"/>
      <c r="S980" s="153"/>
      <c r="T980" s="153"/>
      <c r="U980" s="153"/>
      <c r="V980" s="153"/>
      <c r="W980" s="153"/>
      <c r="X980" s="153"/>
      <c r="Y980" s="153"/>
      <c r="Z980" s="153"/>
      <c r="AA980" s="153"/>
      <c r="AB980" s="153"/>
    </row>
    <row r="981" spans="1:28" ht="15">
      <c r="A981" s="153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53"/>
      <c r="P981" s="153"/>
      <c r="Q981" s="153"/>
      <c r="R981" s="153"/>
      <c r="S981" s="153"/>
      <c r="T981" s="153"/>
      <c r="U981" s="153"/>
      <c r="V981" s="153"/>
      <c r="W981" s="153"/>
      <c r="X981" s="153"/>
      <c r="Y981" s="153"/>
      <c r="Z981" s="153"/>
      <c r="AA981" s="153"/>
      <c r="AB981" s="153"/>
    </row>
    <row r="982" spans="1:28" ht="15">
      <c r="A982" s="153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153"/>
      <c r="P982" s="153"/>
      <c r="Q982" s="153"/>
      <c r="R982" s="153"/>
      <c r="S982" s="153"/>
      <c r="T982" s="153"/>
      <c r="U982" s="153"/>
      <c r="V982" s="153"/>
      <c r="W982" s="153"/>
      <c r="X982" s="153"/>
      <c r="Y982" s="153"/>
      <c r="Z982" s="153"/>
      <c r="AA982" s="153"/>
      <c r="AB982" s="153"/>
    </row>
    <row r="983" spans="1:28" ht="15">
      <c r="A983" s="153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153"/>
      <c r="P983" s="153"/>
      <c r="Q983" s="153"/>
      <c r="R983" s="153"/>
      <c r="S983" s="153"/>
      <c r="T983" s="153"/>
      <c r="U983" s="153"/>
      <c r="V983" s="153"/>
      <c r="W983" s="153"/>
      <c r="X983" s="153"/>
      <c r="Y983" s="153"/>
      <c r="Z983" s="153"/>
      <c r="AA983" s="153"/>
      <c r="AB983" s="153"/>
    </row>
    <row r="984" spans="1:28" ht="15">
      <c r="A984" s="153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  <c r="M984" s="153"/>
      <c r="N984" s="153"/>
      <c r="O984" s="153"/>
      <c r="P984" s="153"/>
      <c r="Q984" s="153"/>
      <c r="R984" s="153"/>
      <c r="S984" s="153"/>
      <c r="T984" s="153"/>
      <c r="U984" s="153"/>
      <c r="V984" s="153"/>
      <c r="W984" s="153"/>
      <c r="X984" s="153"/>
      <c r="Y984" s="153"/>
      <c r="Z984" s="153"/>
      <c r="AA984" s="153"/>
      <c r="AB984" s="153"/>
    </row>
    <row r="985" spans="1:28" ht="15">
      <c r="A985" s="153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153"/>
      <c r="M985" s="153"/>
      <c r="N985" s="153"/>
      <c r="O985" s="153"/>
      <c r="P985" s="153"/>
      <c r="Q985" s="153"/>
      <c r="R985" s="153"/>
      <c r="S985" s="153"/>
      <c r="T985" s="153"/>
      <c r="U985" s="153"/>
      <c r="V985" s="153"/>
      <c r="W985" s="153"/>
      <c r="X985" s="153"/>
      <c r="Y985" s="153"/>
      <c r="Z985" s="153"/>
      <c r="AA985" s="153"/>
      <c r="AB985" s="153"/>
    </row>
    <row r="986" spans="1:28" ht="15">
      <c r="A986" s="153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153"/>
      <c r="M986" s="153"/>
      <c r="N986" s="153"/>
      <c r="O986" s="153"/>
      <c r="P986" s="153"/>
      <c r="Q986" s="153"/>
      <c r="R986" s="153"/>
      <c r="S986" s="153"/>
      <c r="T986" s="153"/>
      <c r="U986" s="153"/>
      <c r="V986" s="153"/>
      <c r="W986" s="153"/>
      <c r="X986" s="153"/>
      <c r="Y986" s="153"/>
      <c r="Z986" s="153"/>
      <c r="AA986" s="153"/>
      <c r="AB986" s="153"/>
    </row>
    <row r="987" spans="1:28" ht="15">
      <c r="A987" s="153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153"/>
      <c r="M987" s="153"/>
      <c r="N987" s="153"/>
      <c r="O987" s="153"/>
      <c r="P987" s="153"/>
      <c r="Q987" s="153"/>
      <c r="R987" s="153"/>
      <c r="S987" s="153"/>
      <c r="T987" s="153"/>
      <c r="U987" s="153"/>
      <c r="V987" s="153"/>
      <c r="W987" s="153"/>
      <c r="X987" s="153"/>
      <c r="Y987" s="153"/>
      <c r="Z987" s="153"/>
      <c r="AA987" s="153"/>
      <c r="AB987" s="153"/>
    </row>
    <row r="988" spans="1:28" ht="15">
      <c r="A988" s="153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153"/>
      <c r="M988" s="153"/>
      <c r="N988" s="153"/>
      <c r="O988" s="153"/>
      <c r="P988" s="153"/>
      <c r="Q988" s="153"/>
      <c r="R988" s="153"/>
      <c r="S988" s="153"/>
      <c r="T988" s="153"/>
      <c r="U988" s="153"/>
      <c r="V988" s="153"/>
      <c r="W988" s="153"/>
      <c r="X988" s="153"/>
      <c r="Y988" s="153"/>
      <c r="Z988" s="153"/>
      <c r="AA988" s="153"/>
      <c r="AB988" s="153"/>
    </row>
    <row r="989" spans="1:28" ht="15">
      <c r="A989" s="153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153"/>
      <c r="M989" s="153"/>
      <c r="N989" s="153"/>
      <c r="O989" s="153"/>
      <c r="P989" s="153"/>
      <c r="Q989" s="153"/>
      <c r="R989" s="153"/>
      <c r="S989" s="153"/>
      <c r="T989" s="153"/>
      <c r="U989" s="153"/>
      <c r="V989" s="153"/>
      <c r="W989" s="153"/>
      <c r="X989" s="153"/>
      <c r="Y989" s="153"/>
      <c r="Z989" s="153"/>
      <c r="AA989" s="153"/>
      <c r="AB989" s="153"/>
    </row>
    <row r="990" spans="1:28" ht="15">
      <c r="A990" s="153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153"/>
      <c r="M990" s="153"/>
      <c r="N990" s="153"/>
      <c r="O990" s="153"/>
      <c r="P990" s="153"/>
      <c r="Q990" s="153"/>
      <c r="R990" s="153"/>
      <c r="S990" s="153"/>
      <c r="T990" s="153"/>
      <c r="U990" s="153"/>
      <c r="V990" s="153"/>
      <c r="W990" s="153"/>
      <c r="X990" s="153"/>
      <c r="Y990" s="153"/>
      <c r="Z990" s="153"/>
      <c r="AA990" s="153"/>
      <c r="AB990" s="153"/>
    </row>
    <row r="991" spans="1:28" ht="15">
      <c r="A991" s="153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153"/>
      <c r="M991" s="153"/>
      <c r="N991" s="153"/>
      <c r="O991" s="153"/>
      <c r="P991" s="153"/>
      <c r="Q991" s="153"/>
      <c r="R991" s="153"/>
      <c r="S991" s="153"/>
      <c r="T991" s="153"/>
      <c r="U991" s="153"/>
      <c r="V991" s="153"/>
      <c r="W991" s="153"/>
      <c r="X991" s="153"/>
      <c r="Y991" s="153"/>
      <c r="Z991" s="153"/>
      <c r="AA991" s="153"/>
      <c r="AB991" s="153"/>
    </row>
    <row r="992" spans="1:28" ht="15">
      <c r="A992" s="153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153"/>
      <c r="M992" s="153"/>
      <c r="N992" s="153"/>
      <c r="O992" s="153"/>
      <c r="P992" s="153"/>
      <c r="Q992" s="153"/>
      <c r="R992" s="153"/>
      <c r="S992" s="153"/>
      <c r="T992" s="153"/>
      <c r="U992" s="153"/>
      <c r="V992" s="153"/>
      <c r="W992" s="153"/>
      <c r="X992" s="153"/>
      <c r="Y992" s="153"/>
      <c r="Z992" s="153"/>
      <c r="AA992" s="153"/>
      <c r="AB992" s="153"/>
    </row>
    <row r="993" spans="1:28" ht="15">
      <c r="A993" s="153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53"/>
      <c r="N993" s="153"/>
      <c r="O993" s="153"/>
      <c r="P993" s="153"/>
      <c r="Q993" s="153"/>
      <c r="R993" s="153"/>
      <c r="S993" s="153"/>
      <c r="T993" s="153"/>
      <c r="U993" s="153"/>
      <c r="V993" s="153"/>
      <c r="W993" s="153"/>
      <c r="X993" s="153"/>
      <c r="Y993" s="153"/>
      <c r="Z993" s="153"/>
      <c r="AA993" s="153"/>
      <c r="AB993" s="153"/>
    </row>
    <row r="994" spans="1:28" ht="15">
      <c r="A994" s="153"/>
      <c r="B994" s="153"/>
      <c r="C994" s="153"/>
      <c r="D994" s="153"/>
      <c r="E994" s="153"/>
      <c r="F994" s="153"/>
      <c r="G994" s="153"/>
      <c r="H994" s="153"/>
      <c r="I994" s="153"/>
      <c r="J994" s="153"/>
      <c r="K994" s="153"/>
      <c r="L994" s="153"/>
      <c r="M994" s="153"/>
      <c r="N994" s="153"/>
      <c r="O994" s="153"/>
      <c r="P994" s="153"/>
      <c r="Q994" s="153"/>
      <c r="R994" s="153"/>
      <c r="S994" s="153"/>
      <c r="T994" s="153"/>
      <c r="U994" s="153"/>
      <c r="V994" s="153"/>
      <c r="W994" s="153"/>
      <c r="X994" s="153"/>
      <c r="Y994" s="153"/>
      <c r="Z994" s="153"/>
      <c r="AA994" s="153"/>
      <c r="AB994" s="153"/>
    </row>
    <row r="995" spans="1:28" ht="15">
      <c r="A995" s="153"/>
      <c r="B995" s="153"/>
      <c r="C995" s="153"/>
      <c r="D995" s="153"/>
      <c r="E995" s="153"/>
      <c r="F995" s="153"/>
      <c r="G995" s="153"/>
      <c r="H995" s="153"/>
      <c r="I995" s="153"/>
      <c r="J995" s="153"/>
      <c r="K995" s="153"/>
      <c r="L995" s="153"/>
      <c r="M995" s="153"/>
      <c r="N995" s="153"/>
      <c r="O995" s="153"/>
      <c r="P995" s="153"/>
      <c r="Q995" s="153"/>
      <c r="R995" s="153"/>
      <c r="S995" s="153"/>
      <c r="T995" s="153"/>
      <c r="U995" s="153"/>
      <c r="V995" s="153"/>
      <c r="W995" s="153"/>
      <c r="X995" s="153"/>
      <c r="Y995" s="153"/>
      <c r="Z995" s="153"/>
      <c r="AA995" s="153"/>
      <c r="AB995" s="153"/>
    </row>
    <row r="996" spans="1:28" ht="15">
      <c r="A996" s="153"/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153"/>
      <c r="M996" s="153"/>
      <c r="N996" s="153"/>
      <c r="O996" s="153"/>
      <c r="P996" s="153"/>
      <c r="Q996" s="153"/>
      <c r="R996" s="153"/>
      <c r="S996" s="153"/>
      <c r="T996" s="153"/>
      <c r="U996" s="153"/>
      <c r="V996" s="153"/>
      <c r="W996" s="153"/>
      <c r="X996" s="153"/>
      <c r="Y996" s="153"/>
      <c r="Z996" s="153"/>
      <c r="AA996" s="153"/>
      <c r="AB996" s="153"/>
    </row>
  </sheetData>
  <sheetProtection password="DE31" sheet="1" objects="1" scenarios="1" selectLockedCells="1"/>
  <sortState ref="K7:U136">
    <sortCondition ref="U7:U136"/>
    <sortCondition ref="M7:M136"/>
  </sortState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39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$L$6:$L$136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123"/>
  <sheetViews>
    <sheetView workbookViewId="0">
      <selection activeCell="B12" sqref="B12"/>
    </sheetView>
  </sheetViews>
  <sheetFormatPr defaultRowHeight="15"/>
  <cols>
    <col min="1" max="1" width="11.28515625" bestFit="1" customWidth="1"/>
    <col min="2" max="2" width="91.140625" customWidth="1"/>
    <col min="3" max="3" width="20.42578125" style="268" bestFit="1" customWidth="1"/>
    <col min="4" max="4" width="23.7109375" style="269" customWidth="1"/>
    <col min="5" max="5" width="12" style="268" customWidth="1"/>
    <col min="6" max="6" width="11.7109375" style="265" customWidth="1"/>
  </cols>
  <sheetData>
    <row r="1" spans="1:6" ht="20.25" thickBot="1">
      <c r="A1" s="250" t="s">
        <v>761</v>
      </c>
      <c r="B1" s="250" t="s">
        <v>203</v>
      </c>
      <c r="C1" s="251" t="s">
        <v>2319</v>
      </c>
      <c r="D1" s="250"/>
      <c r="E1" s="251"/>
      <c r="F1" s="252" t="s">
        <v>2330</v>
      </c>
    </row>
    <row r="2" spans="1:6" ht="15.75" thickTop="1">
      <c r="A2" s="254" t="s">
        <v>776</v>
      </c>
      <c r="B2" s="255" t="s">
        <v>260</v>
      </c>
      <c r="C2" s="256">
        <v>11</v>
      </c>
      <c r="D2" s="253" t="s">
        <v>53</v>
      </c>
      <c r="E2" s="256">
        <v>671</v>
      </c>
      <c r="F2" s="254" t="s">
        <v>2320</v>
      </c>
    </row>
    <row r="3" spans="1:6">
      <c r="A3" s="254" t="s">
        <v>777</v>
      </c>
      <c r="B3" s="255" t="s">
        <v>260</v>
      </c>
      <c r="C3" s="256">
        <v>12</v>
      </c>
      <c r="D3" s="253" t="s">
        <v>263</v>
      </c>
      <c r="E3" s="256">
        <v>671</v>
      </c>
      <c r="F3" s="254" t="s">
        <v>2321</v>
      </c>
    </row>
    <row r="4" spans="1:6">
      <c r="A4" s="254">
        <v>614810041</v>
      </c>
      <c r="B4" s="255" t="s">
        <v>1541</v>
      </c>
      <c r="C4" s="256">
        <v>41</v>
      </c>
      <c r="D4" s="253" t="s">
        <v>1537</v>
      </c>
      <c r="E4" s="256">
        <v>614</v>
      </c>
      <c r="F4" s="254">
        <v>614810041</v>
      </c>
    </row>
    <row r="5" spans="1:6">
      <c r="A5" s="254">
        <v>614820041</v>
      </c>
      <c r="B5" s="255" t="s">
        <v>1542</v>
      </c>
      <c r="C5" s="256">
        <v>41</v>
      </c>
      <c r="D5" s="253" t="s">
        <v>1537</v>
      </c>
      <c r="E5" s="256">
        <v>614</v>
      </c>
      <c r="F5" s="254">
        <v>614820041</v>
      </c>
    </row>
    <row r="6" spans="1:6">
      <c r="A6" s="254">
        <v>614830041</v>
      </c>
      <c r="B6" s="255" t="s">
        <v>1543</v>
      </c>
      <c r="C6" s="256">
        <v>41</v>
      </c>
      <c r="D6" s="253" t="s">
        <v>1537</v>
      </c>
      <c r="E6" s="256">
        <v>614</v>
      </c>
      <c r="F6" s="254">
        <v>614830041</v>
      </c>
    </row>
    <row r="7" spans="1:6">
      <c r="A7" s="254">
        <v>614840041</v>
      </c>
      <c r="B7" s="255" t="s">
        <v>1544</v>
      </c>
      <c r="C7" s="256">
        <v>41</v>
      </c>
      <c r="D7" s="253" t="s">
        <v>1537</v>
      </c>
      <c r="E7" s="256">
        <v>614</v>
      </c>
      <c r="F7" s="254">
        <v>614840041</v>
      </c>
    </row>
    <row r="8" spans="1:6">
      <c r="A8" s="255">
        <v>631110000</v>
      </c>
      <c r="B8" s="255" t="s">
        <v>25</v>
      </c>
      <c r="C8" s="257">
        <v>52</v>
      </c>
      <c r="D8" s="258" t="s">
        <v>2088</v>
      </c>
      <c r="E8" s="257">
        <v>631</v>
      </c>
      <c r="F8" s="255">
        <v>631110000</v>
      </c>
    </row>
    <row r="9" spans="1:6">
      <c r="A9" s="255">
        <v>631120000</v>
      </c>
      <c r="B9" s="255" t="s">
        <v>26</v>
      </c>
      <c r="C9" s="257">
        <v>52</v>
      </c>
      <c r="D9" s="258" t="s">
        <v>2088</v>
      </c>
      <c r="E9" s="257">
        <v>631</v>
      </c>
      <c r="F9" s="255">
        <v>631120000</v>
      </c>
    </row>
    <row r="10" spans="1:6">
      <c r="A10" s="255">
        <v>631210000</v>
      </c>
      <c r="B10" s="255" t="s">
        <v>27</v>
      </c>
      <c r="C10" s="257">
        <v>52</v>
      </c>
      <c r="D10" s="258" t="s">
        <v>2088</v>
      </c>
      <c r="E10" s="257">
        <v>631</v>
      </c>
      <c r="F10" s="271">
        <v>631210000</v>
      </c>
    </row>
    <row r="11" spans="1:6">
      <c r="A11" s="255">
        <v>631220000</v>
      </c>
      <c r="B11" s="255" t="s">
        <v>28</v>
      </c>
      <c r="C11" s="257">
        <v>52</v>
      </c>
      <c r="D11" s="258" t="s">
        <v>2088</v>
      </c>
      <c r="E11" s="257">
        <v>631</v>
      </c>
      <c r="F11" s="271">
        <v>631220000</v>
      </c>
    </row>
    <row r="12" spans="1:6" s="278" customFormat="1">
      <c r="A12" s="255">
        <v>632112000</v>
      </c>
      <c r="B12" s="255" t="s">
        <v>2089</v>
      </c>
      <c r="C12" s="257">
        <v>52</v>
      </c>
      <c r="D12" s="258" t="s">
        <v>2088</v>
      </c>
      <c r="E12" s="257">
        <v>632</v>
      </c>
      <c r="F12" s="271">
        <v>632112000</v>
      </c>
    </row>
    <row r="13" spans="1:6" s="278" customFormat="1">
      <c r="A13" s="255">
        <v>632212000</v>
      </c>
      <c r="B13" s="255" t="s">
        <v>2090</v>
      </c>
      <c r="C13" s="257">
        <v>52</v>
      </c>
      <c r="D13" s="258" t="s">
        <v>2088</v>
      </c>
      <c r="E13" s="257">
        <v>632</v>
      </c>
      <c r="F13" s="271">
        <v>632212000</v>
      </c>
    </row>
    <row r="14" spans="1:6" s="278" customFormat="1">
      <c r="A14" s="254">
        <v>632310552</v>
      </c>
      <c r="B14" s="255" t="s">
        <v>1546</v>
      </c>
      <c r="C14" s="256">
        <v>552</v>
      </c>
      <c r="D14" s="259" t="s">
        <v>1538</v>
      </c>
      <c r="E14" s="256">
        <v>632</v>
      </c>
      <c r="F14" s="254">
        <v>632310552</v>
      </c>
    </row>
    <row r="15" spans="1:6" s="278" customFormat="1">
      <c r="A15" s="254">
        <v>632310559</v>
      </c>
      <c r="B15" s="255" t="s">
        <v>1547</v>
      </c>
      <c r="C15" s="256">
        <v>559</v>
      </c>
      <c r="D15" s="259" t="s">
        <v>1539</v>
      </c>
      <c r="E15" s="256">
        <v>632</v>
      </c>
      <c r="F15" s="254">
        <v>632310559</v>
      </c>
    </row>
    <row r="16" spans="1:6" s="278" customFormat="1">
      <c r="A16" s="254">
        <v>632310561</v>
      </c>
      <c r="B16" s="255" t="s">
        <v>2332</v>
      </c>
      <c r="C16" s="256">
        <v>561</v>
      </c>
      <c r="D16" s="259" t="s">
        <v>118</v>
      </c>
      <c r="E16" s="256">
        <v>561</v>
      </c>
      <c r="F16" s="254">
        <v>632310561</v>
      </c>
    </row>
    <row r="17" spans="1:6" s="278" customFormat="1">
      <c r="A17" s="254">
        <v>632310563</v>
      </c>
      <c r="B17" s="255" t="s">
        <v>2333</v>
      </c>
      <c r="C17" s="256">
        <v>563</v>
      </c>
      <c r="D17" s="259" t="s">
        <v>2331</v>
      </c>
      <c r="E17" s="256">
        <v>563</v>
      </c>
      <c r="F17" s="254">
        <v>632310563</v>
      </c>
    </row>
    <row r="18" spans="1:6" s="278" customFormat="1">
      <c r="A18" s="254">
        <v>632310573</v>
      </c>
      <c r="B18" s="255" t="s">
        <v>1548</v>
      </c>
      <c r="C18" s="256">
        <v>573</v>
      </c>
      <c r="D18" s="259" t="s">
        <v>1549</v>
      </c>
      <c r="E18" s="256">
        <v>632</v>
      </c>
      <c r="F18" s="254">
        <v>632310573</v>
      </c>
    </row>
    <row r="19" spans="1:6" s="278" customFormat="1">
      <c r="A19" s="254">
        <v>632310575</v>
      </c>
      <c r="B19" s="255" t="s">
        <v>1550</v>
      </c>
      <c r="C19" s="256">
        <v>575</v>
      </c>
      <c r="D19" s="259" t="s">
        <v>1551</v>
      </c>
      <c r="E19" s="256">
        <v>632</v>
      </c>
      <c r="F19" s="254">
        <v>632310575</v>
      </c>
    </row>
    <row r="20" spans="1:6" s="278" customFormat="1">
      <c r="A20" s="254">
        <v>632310576</v>
      </c>
      <c r="B20" s="255" t="s">
        <v>2127</v>
      </c>
      <c r="C20" s="256">
        <v>576</v>
      </c>
      <c r="D20" s="259" t="s">
        <v>2128</v>
      </c>
      <c r="E20" s="256">
        <v>632</v>
      </c>
      <c r="F20" s="254">
        <v>632310576</v>
      </c>
    </row>
    <row r="21" spans="1:6" s="278" customFormat="1">
      <c r="A21" s="255">
        <v>632311700</v>
      </c>
      <c r="B21" s="255" t="s">
        <v>23</v>
      </c>
      <c r="C21" s="257">
        <v>51</v>
      </c>
      <c r="D21" s="258" t="s">
        <v>2091</v>
      </c>
      <c r="E21" s="257">
        <v>632</v>
      </c>
      <c r="F21" s="271">
        <v>632311700</v>
      </c>
    </row>
    <row r="22" spans="1:6" s="278" customFormat="1">
      <c r="A22" s="255">
        <v>632311800</v>
      </c>
      <c r="B22" s="255" t="s">
        <v>247</v>
      </c>
      <c r="C22" s="257">
        <v>51</v>
      </c>
      <c r="D22" s="258" t="s">
        <v>2091</v>
      </c>
      <c r="E22" s="257">
        <v>632</v>
      </c>
      <c r="F22" s="271">
        <v>632311800</v>
      </c>
    </row>
    <row r="23" spans="1:6" s="278" customFormat="1">
      <c r="A23" s="254">
        <v>632410552</v>
      </c>
      <c r="B23" s="255" t="s">
        <v>1552</v>
      </c>
      <c r="C23" s="256">
        <v>552</v>
      </c>
      <c r="D23" s="259" t="s">
        <v>1538</v>
      </c>
      <c r="E23" s="256">
        <v>632</v>
      </c>
      <c r="F23" s="254">
        <v>632410552</v>
      </c>
    </row>
    <row r="24" spans="1:6" s="278" customFormat="1">
      <c r="A24" s="254">
        <v>632410559</v>
      </c>
      <c r="B24" s="255" t="s">
        <v>1553</v>
      </c>
      <c r="C24" s="256">
        <v>559</v>
      </c>
      <c r="D24" s="259" t="s">
        <v>1539</v>
      </c>
      <c r="E24" s="256">
        <v>632</v>
      </c>
      <c r="F24" s="254">
        <v>632410559</v>
      </c>
    </row>
    <row r="25" spans="1:6" s="278" customFormat="1">
      <c r="A25" s="254">
        <v>632410561</v>
      </c>
      <c r="B25" s="255" t="s">
        <v>2334</v>
      </c>
      <c r="C25" s="256">
        <v>561</v>
      </c>
      <c r="D25" s="259" t="s">
        <v>118</v>
      </c>
      <c r="E25" s="256">
        <v>561</v>
      </c>
      <c r="F25" s="254">
        <v>632410561</v>
      </c>
    </row>
    <row r="26" spans="1:6" s="278" customFormat="1">
      <c r="A26" s="254">
        <v>632410563</v>
      </c>
      <c r="B26" s="255" t="s">
        <v>2335</v>
      </c>
      <c r="C26" s="256">
        <v>563</v>
      </c>
      <c r="D26" s="259" t="s">
        <v>2331</v>
      </c>
      <c r="E26" s="256">
        <v>563</v>
      </c>
      <c r="F26" s="254">
        <v>632410563</v>
      </c>
    </row>
    <row r="27" spans="1:6" s="278" customFormat="1">
      <c r="A27" s="254">
        <v>632410573</v>
      </c>
      <c r="B27" s="255" t="s">
        <v>1554</v>
      </c>
      <c r="C27" s="256">
        <v>573</v>
      </c>
      <c r="D27" s="259" t="s">
        <v>1549</v>
      </c>
      <c r="E27" s="256">
        <v>632</v>
      </c>
      <c r="F27" s="254">
        <v>632410573</v>
      </c>
    </row>
    <row r="28" spans="1:6" s="278" customFormat="1">
      <c r="A28" s="254">
        <v>632410575</v>
      </c>
      <c r="B28" s="255" t="s">
        <v>1555</v>
      </c>
      <c r="C28" s="256">
        <v>575</v>
      </c>
      <c r="D28" s="259" t="s">
        <v>1551</v>
      </c>
      <c r="E28" s="256">
        <v>632</v>
      </c>
      <c r="F28" s="254">
        <v>632410575</v>
      </c>
    </row>
    <row r="29" spans="1:6" s="278" customFormat="1">
      <c r="A29" s="254">
        <v>632410576</v>
      </c>
      <c r="B29" s="255" t="s">
        <v>2129</v>
      </c>
      <c r="C29" s="256">
        <v>576</v>
      </c>
      <c r="D29" s="259" t="s">
        <v>2128</v>
      </c>
      <c r="E29" s="256">
        <v>632</v>
      </c>
      <c r="F29" s="254">
        <v>632410576</v>
      </c>
    </row>
    <row r="30" spans="1:6" s="278" customFormat="1">
      <c r="A30" s="255">
        <v>632411700</v>
      </c>
      <c r="B30" s="255" t="s">
        <v>24</v>
      </c>
      <c r="C30" s="260">
        <v>51</v>
      </c>
      <c r="D30" s="261" t="s">
        <v>2091</v>
      </c>
      <c r="E30" s="260">
        <v>632</v>
      </c>
      <c r="F30" s="271">
        <v>632411700</v>
      </c>
    </row>
    <row r="31" spans="1:6">
      <c r="A31" s="255">
        <v>634140000</v>
      </c>
      <c r="B31" s="255" t="s">
        <v>2322</v>
      </c>
      <c r="C31" s="260">
        <v>52</v>
      </c>
      <c r="D31" s="261" t="s">
        <v>2088</v>
      </c>
      <c r="E31" s="260">
        <v>634</v>
      </c>
      <c r="F31" s="271">
        <v>6341</v>
      </c>
    </row>
    <row r="32" spans="1:6">
      <c r="A32" s="255">
        <v>634150000</v>
      </c>
      <c r="B32" s="255" t="s">
        <v>2323</v>
      </c>
      <c r="C32" s="260">
        <v>52</v>
      </c>
      <c r="D32" s="261" t="s">
        <v>2088</v>
      </c>
      <c r="E32" s="260">
        <v>634</v>
      </c>
      <c r="F32" s="271">
        <v>6341</v>
      </c>
    </row>
    <row r="33" spans="1:6">
      <c r="A33" s="255">
        <v>634160000</v>
      </c>
      <c r="B33" s="255" t="s">
        <v>2324</v>
      </c>
      <c r="C33" s="260">
        <v>52</v>
      </c>
      <c r="D33" s="261" t="s">
        <v>2088</v>
      </c>
      <c r="E33" s="260">
        <v>634</v>
      </c>
      <c r="F33" s="271">
        <v>6341</v>
      </c>
    </row>
    <row r="34" spans="1:6">
      <c r="A34" s="255">
        <v>634240000</v>
      </c>
      <c r="B34" s="255" t="s">
        <v>2325</v>
      </c>
      <c r="C34" s="260">
        <v>52</v>
      </c>
      <c r="D34" s="261" t="s">
        <v>2088</v>
      </c>
      <c r="E34" s="260">
        <v>634</v>
      </c>
      <c r="F34" s="271">
        <v>6342</v>
      </c>
    </row>
    <row r="35" spans="1:6">
      <c r="A35" s="255">
        <v>634250000</v>
      </c>
      <c r="B35" s="255" t="s">
        <v>2326</v>
      </c>
      <c r="C35" s="260">
        <v>52</v>
      </c>
      <c r="D35" s="261" t="s">
        <v>2088</v>
      </c>
      <c r="E35" s="260">
        <v>634</v>
      </c>
      <c r="F35" s="271">
        <v>6342</v>
      </c>
    </row>
    <row r="36" spans="1:6">
      <c r="A36" s="255">
        <v>634260000</v>
      </c>
      <c r="B36" s="255" t="s">
        <v>2327</v>
      </c>
      <c r="C36" s="260">
        <v>52</v>
      </c>
      <c r="D36" s="261" t="s">
        <v>2088</v>
      </c>
      <c r="E36" s="260">
        <v>634</v>
      </c>
      <c r="F36" s="271">
        <v>6342</v>
      </c>
    </row>
    <row r="37" spans="1:6">
      <c r="A37" s="255">
        <v>636130000</v>
      </c>
      <c r="B37" s="255" t="s">
        <v>2092</v>
      </c>
      <c r="C37" s="260">
        <v>52</v>
      </c>
      <c r="D37" s="261" t="s">
        <v>2088</v>
      </c>
      <c r="E37" s="260">
        <v>636</v>
      </c>
      <c r="F37" s="271">
        <v>6361</v>
      </c>
    </row>
    <row r="38" spans="1:6">
      <c r="A38" s="255">
        <v>636230000</v>
      </c>
      <c r="B38" s="255" t="s">
        <v>2093</v>
      </c>
      <c r="C38" s="260">
        <v>52</v>
      </c>
      <c r="D38" s="261" t="s">
        <v>2088</v>
      </c>
      <c r="E38" s="260">
        <v>636</v>
      </c>
      <c r="F38" s="271">
        <v>6362</v>
      </c>
    </row>
    <row r="39" spans="1:6">
      <c r="A39" s="255">
        <v>638120000</v>
      </c>
      <c r="B39" s="255" t="s">
        <v>2094</v>
      </c>
      <c r="C39" s="260">
        <v>52</v>
      </c>
      <c r="D39" s="261" t="s">
        <v>2088</v>
      </c>
      <c r="E39" s="260">
        <v>638</v>
      </c>
      <c r="F39" s="271">
        <v>6381</v>
      </c>
    </row>
    <row r="40" spans="1:6">
      <c r="A40" s="255">
        <v>638130000</v>
      </c>
      <c r="B40" s="255" t="s">
        <v>2095</v>
      </c>
      <c r="C40" s="260">
        <v>52</v>
      </c>
      <c r="D40" s="261" t="s">
        <v>2088</v>
      </c>
      <c r="E40" s="260">
        <v>638</v>
      </c>
      <c r="F40" s="271">
        <v>6381</v>
      </c>
    </row>
    <row r="41" spans="1:6">
      <c r="A41" s="255">
        <v>638140000</v>
      </c>
      <c r="B41" s="255" t="s">
        <v>2096</v>
      </c>
      <c r="C41" s="260">
        <v>52</v>
      </c>
      <c r="D41" s="261" t="s">
        <v>2088</v>
      </c>
      <c r="E41" s="260">
        <v>638</v>
      </c>
      <c r="F41" s="271">
        <v>6381</v>
      </c>
    </row>
    <row r="42" spans="1:6">
      <c r="A42" s="255">
        <v>638220000</v>
      </c>
      <c r="B42" s="255" t="s">
        <v>2097</v>
      </c>
      <c r="C42" s="260">
        <v>52</v>
      </c>
      <c r="D42" s="261" t="s">
        <v>2088</v>
      </c>
      <c r="E42" s="260">
        <v>638</v>
      </c>
      <c r="F42" s="271">
        <v>6382</v>
      </c>
    </row>
    <row r="43" spans="1:6">
      <c r="A43" s="255">
        <v>638230000</v>
      </c>
      <c r="B43" s="255" t="s">
        <v>2098</v>
      </c>
      <c r="C43" s="260">
        <v>52</v>
      </c>
      <c r="D43" s="261" t="s">
        <v>2088</v>
      </c>
      <c r="E43" s="260">
        <v>638</v>
      </c>
      <c r="F43" s="271">
        <v>6382</v>
      </c>
    </row>
    <row r="44" spans="1:6">
      <c r="A44" s="255">
        <v>638240000</v>
      </c>
      <c r="B44" s="255" t="s">
        <v>2099</v>
      </c>
      <c r="C44" s="260">
        <v>52</v>
      </c>
      <c r="D44" s="261" t="s">
        <v>2088</v>
      </c>
      <c r="E44" s="260">
        <v>638</v>
      </c>
      <c r="F44" s="271">
        <v>6382</v>
      </c>
    </row>
    <row r="45" spans="1:6">
      <c r="A45" s="255">
        <v>639110000</v>
      </c>
      <c r="B45" s="255" t="s">
        <v>31</v>
      </c>
      <c r="C45" s="260">
        <v>52</v>
      </c>
      <c r="D45" s="261" t="s">
        <v>2088</v>
      </c>
      <c r="E45" s="260">
        <v>639</v>
      </c>
      <c r="F45" s="271">
        <v>6391</v>
      </c>
    </row>
    <row r="46" spans="1:6">
      <c r="A46" s="255">
        <v>639210000</v>
      </c>
      <c r="B46" s="255" t="s">
        <v>32</v>
      </c>
      <c r="C46" s="260">
        <v>52</v>
      </c>
      <c r="D46" s="261" t="s">
        <v>2088</v>
      </c>
      <c r="E46" s="260">
        <v>639</v>
      </c>
      <c r="F46" s="271">
        <v>6392</v>
      </c>
    </row>
    <row r="47" spans="1:6">
      <c r="A47" s="255">
        <v>639310000</v>
      </c>
      <c r="B47" s="255" t="s">
        <v>33</v>
      </c>
      <c r="C47" s="260">
        <v>52</v>
      </c>
      <c r="D47" s="261" t="s">
        <v>2088</v>
      </c>
      <c r="E47" s="260">
        <v>639</v>
      </c>
      <c r="F47" s="271">
        <v>6393</v>
      </c>
    </row>
    <row r="48" spans="1:6">
      <c r="A48" s="255">
        <v>639410000</v>
      </c>
      <c r="B48" s="255" t="s">
        <v>34</v>
      </c>
      <c r="C48" s="260">
        <v>52</v>
      </c>
      <c r="D48" s="261" t="s">
        <v>2088</v>
      </c>
      <c r="E48" s="260">
        <v>639</v>
      </c>
      <c r="F48" s="271">
        <v>6394</v>
      </c>
    </row>
    <row r="49" spans="1:6">
      <c r="A49" s="255">
        <v>641290031</v>
      </c>
      <c r="B49" s="255" t="s">
        <v>236</v>
      </c>
      <c r="C49" s="260">
        <v>31</v>
      </c>
      <c r="D49" s="261" t="s">
        <v>98</v>
      </c>
      <c r="E49" s="260">
        <v>641</v>
      </c>
      <c r="F49" s="254">
        <v>641290031</v>
      </c>
    </row>
    <row r="50" spans="1:6">
      <c r="A50" s="255">
        <v>641310031</v>
      </c>
      <c r="B50" s="255" t="s">
        <v>237</v>
      </c>
      <c r="C50" s="260">
        <v>31</v>
      </c>
      <c r="D50" s="261" t="s">
        <v>98</v>
      </c>
      <c r="E50" s="260">
        <v>641</v>
      </c>
      <c r="F50" s="254">
        <v>641310031</v>
      </c>
    </row>
    <row r="51" spans="1:6">
      <c r="A51" s="255">
        <v>641320031</v>
      </c>
      <c r="B51" s="255" t="s">
        <v>238</v>
      </c>
      <c r="C51" s="260">
        <v>31</v>
      </c>
      <c r="D51" s="261" t="s">
        <v>98</v>
      </c>
      <c r="E51" s="260">
        <v>641</v>
      </c>
      <c r="F51" s="272">
        <v>641320031</v>
      </c>
    </row>
    <row r="52" spans="1:6">
      <c r="A52" s="255">
        <v>641320043</v>
      </c>
      <c r="B52" s="255" t="s">
        <v>2100</v>
      </c>
      <c r="C52" s="260">
        <v>43</v>
      </c>
      <c r="D52" s="261" t="s">
        <v>103</v>
      </c>
      <c r="E52" s="260">
        <v>641</v>
      </c>
      <c r="F52" s="272">
        <v>641320043</v>
      </c>
    </row>
    <row r="53" spans="1:6">
      <c r="A53" s="255">
        <v>641510031</v>
      </c>
      <c r="B53" s="255" t="s">
        <v>2101</v>
      </c>
      <c r="C53" s="262">
        <v>31</v>
      </c>
      <c r="D53" s="263" t="s">
        <v>98</v>
      </c>
      <c r="E53" s="262">
        <v>641</v>
      </c>
      <c r="F53" s="254">
        <v>641510031</v>
      </c>
    </row>
    <row r="54" spans="1:6">
      <c r="A54" s="255">
        <v>641510043</v>
      </c>
      <c r="B54" s="255" t="s">
        <v>2102</v>
      </c>
      <c r="C54" s="262">
        <v>43</v>
      </c>
      <c r="D54" s="263" t="s">
        <v>103</v>
      </c>
      <c r="E54" s="262">
        <v>641</v>
      </c>
      <c r="F54" s="254">
        <v>641510043</v>
      </c>
    </row>
    <row r="55" spans="1:6">
      <c r="A55" s="255">
        <v>641630031</v>
      </c>
      <c r="B55" s="255" t="s">
        <v>239</v>
      </c>
      <c r="C55" s="262">
        <v>31</v>
      </c>
      <c r="D55" s="263" t="s">
        <v>98</v>
      </c>
      <c r="E55" s="262">
        <v>641</v>
      </c>
      <c r="F55" s="254">
        <v>641630031</v>
      </c>
    </row>
    <row r="56" spans="1:6">
      <c r="A56" s="255">
        <v>641720043</v>
      </c>
      <c r="B56" s="255" t="s">
        <v>242</v>
      </c>
      <c r="C56" s="262">
        <v>43</v>
      </c>
      <c r="D56" s="263" t="s">
        <v>103</v>
      </c>
      <c r="E56" s="262">
        <v>641</v>
      </c>
      <c r="F56" s="254">
        <v>641720043</v>
      </c>
    </row>
    <row r="57" spans="1:6">
      <c r="A57" s="254">
        <v>641770041</v>
      </c>
      <c r="B57" s="264" t="s">
        <v>1545</v>
      </c>
      <c r="C57" s="256">
        <v>41</v>
      </c>
      <c r="D57" s="259" t="s">
        <v>1537</v>
      </c>
      <c r="E57" s="256">
        <v>641</v>
      </c>
      <c r="F57" s="254">
        <v>641770041</v>
      </c>
    </row>
    <row r="58" spans="1:6">
      <c r="A58" s="255">
        <v>641990043</v>
      </c>
      <c r="B58" s="255" t="s">
        <v>2103</v>
      </c>
      <c r="C58" s="262">
        <v>43</v>
      </c>
      <c r="D58" s="263" t="s">
        <v>103</v>
      </c>
      <c r="E58" s="262">
        <v>641</v>
      </c>
      <c r="F58" s="254">
        <v>641990043</v>
      </c>
    </row>
    <row r="59" spans="1:6">
      <c r="A59" s="255">
        <v>642510031</v>
      </c>
      <c r="B59" s="255" t="s">
        <v>240</v>
      </c>
      <c r="C59" s="262">
        <v>31</v>
      </c>
      <c r="D59" s="263" t="s">
        <v>98</v>
      </c>
      <c r="E59" s="262">
        <v>642</v>
      </c>
      <c r="F59" s="254">
        <v>642510031</v>
      </c>
    </row>
    <row r="60" spans="1:6">
      <c r="A60" s="255">
        <v>642990031</v>
      </c>
      <c r="B60" s="255" t="s">
        <v>241</v>
      </c>
      <c r="C60" s="262">
        <v>31</v>
      </c>
      <c r="D60" s="263" t="s">
        <v>98</v>
      </c>
      <c r="E60" s="262">
        <v>642</v>
      </c>
      <c r="F60" s="254">
        <v>642990031</v>
      </c>
    </row>
    <row r="61" spans="1:6">
      <c r="A61" s="255">
        <v>651480000</v>
      </c>
      <c r="B61" s="255" t="s">
        <v>22</v>
      </c>
      <c r="C61" s="262">
        <v>43</v>
      </c>
      <c r="D61" s="263" t="s">
        <v>103</v>
      </c>
      <c r="E61" s="262">
        <v>651</v>
      </c>
      <c r="F61" s="254">
        <v>65148</v>
      </c>
    </row>
    <row r="62" spans="1:6">
      <c r="A62" s="255">
        <v>652180000</v>
      </c>
      <c r="B62" s="255" t="s">
        <v>2104</v>
      </c>
      <c r="C62" s="262">
        <v>43</v>
      </c>
      <c r="D62" s="263" t="s">
        <v>103</v>
      </c>
      <c r="E62" s="262">
        <v>652</v>
      </c>
      <c r="F62" s="254">
        <v>65218</v>
      </c>
    </row>
    <row r="63" spans="1:6">
      <c r="A63" s="255">
        <v>652640000</v>
      </c>
      <c r="B63" s="255" t="s">
        <v>243</v>
      </c>
      <c r="C63" s="262">
        <v>43</v>
      </c>
      <c r="D63" s="263" t="s">
        <v>103</v>
      </c>
      <c r="E63" s="262">
        <v>625</v>
      </c>
      <c r="F63" s="272">
        <v>65264</v>
      </c>
    </row>
    <row r="64" spans="1:6">
      <c r="A64" s="255">
        <v>652670043</v>
      </c>
      <c r="B64" s="255" t="s">
        <v>244</v>
      </c>
      <c r="C64" s="262">
        <v>43</v>
      </c>
      <c r="D64" s="263" t="s">
        <v>103</v>
      </c>
      <c r="E64" s="262">
        <v>652</v>
      </c>
      <c r="F64" s="254">
        <v>652670043</v>
      </c>
    </row>
    <row r="65" spans="1:6">
      <c r="A65" s="255">
        <v>652680000</v>
      </c>
      <c r="B65" s="255" t="s">
        <v>2105</v>
      </c>
      <c r="C65" s="262">
        <v>43</v>
      </c>
      <c r="D65" s="263" t="s">
        <v>103</v>
      </c>
      <c r="E65" s="262">
        <v>652</v>
      </c>
      <c r="F65" s="254">
        <v>65268</v>
      </c>
    </row>
    <row r="66" spans="1:6">
      <c r="A66" s="255">
        <v>661410000</v>
      </c>
      <c r="B66" s="255" t="s">
        <v>2328</v>
      </c>
      <c r="C66" s="262">
        <v>31</v>
      </c>
      <c r="D66" s="263" t="s">
        <v>98</v>
      </c>
      <c r="E66" s="262">
        <v>661</v>
      </c>
      <c r="F66" s="254">
        <v>6614</v>
      </c>
    </row>
    <row r="67" spans="1:6">
      <c r="A67" s="255">
        <v>661420000</v>
      </c>
      <c r="B67" s="255" t="s">
        <v>2329</v>
      </c>
      <c r="C67" s="262">
        <v>31</v>
      </c>
      <c r="D67" s="263" t="s">
        <v>98</v>
      </c>
      <c r="E67" s="262">
        <v>661</v>
      </c>
      <c r="F67" s="254">
        <v>6614</v>
      </c>
    </row>
    <row r="68" spans="1:6">
      <c r="A68" s="255">
        <v>661510000</v>
      </c>
      <c r="B68" s="255" t="s">
        <v>21</v>
      </c>
      <c r="C68" s="262">
        <v>31</v>
      </c>
      <c r="D68" s="263" t="s">
        <v>98</v>
      </c>
      <c r="E68" s="262">
        <v>661</v>
      </c>
      <c r="F68" s="254">
        <v>6615</v>
      </c>
    </row>
    <row r="69" spans="1:6">
      <c r="A69" s="255">
        <v>663110000</v>
      </c>
      <c r="B69" s="255" t="s">
        <v>35</v>
      </c>
      <c r="C69" s="262">
        <v>61</v>
      </c>
      <c r="D69" s="263" t="s">
        <v>2106</v>
      </c>
      <c r="E69" s="262">
        <v>663</v>
      </c>
      <c r="F69" s="254">
        <v>663110000</v>
      </c>
    </row>
    <row r="70" spans="1:6">
      <c r="A70" s="255">
        <v>663120000</v>
      </c>
      <c r="B70" s="255" t="s">
        <v>36</v>
      </c>
      <c r="C70" s="262">
        <v>61</v>
      </c>
      <c r="D70" s="263" t="s">
        <v>2106</v>
      </c>
      <c r="E70" s="262">
        <v>663</v>
      </c>
      <c r="F70" s="254">
        <v>663120000</v>
      </c>
    </row>
    <row r="71" spans="1:6">
      <c r="A71" s="255">
        <v>663130000</v>
      </c>
      <c r="B71" s="255" t="s">
        <v>37</v>
      </c>
      <c r="C71" s="262">
        <v>61</v>
      </c>
      <c r="D71" s="263" t="s">
        <v>2106</v>
      </c>
      <c r="E71" s="262">
        <v>663</v>
      </c>
      <c r="F71" s="254">
        <v>663130000</v>
      </c>
    </row>
    <row r="72" spans="1:6">
      <c r="A72" s="255">
        <v>663140000</v>
      </c>
      <c r="B72" s="255" t="s">
        <v>2107</v>
      </c>
      <c r="C72" s="262">
        <v>61</v>
      </c>
      <c r="D72" s="263" t="s">
        <v>2106</v>
      </c>
      <c r="E72" s="262">
        <v>663</v>
      </c>
      <c r="F72" s="272">
        <v>663140000</v>
      </c>
    </row>
    <row r="73" spans="1:6">
      <c r="A73" s="255">
        <v>663210000</v>
      </c>
      <c r="B73" s="255" t="s">
        <v>2108</v>
      </c>
      <c r="C73" s="262">
        <v>61</v>
      </c>
      <c r="D73" s="263" t="s">
        <v>2106</v>
      </c>
      <c r="E73" s="262">
        <v>663</v>
      </c>
      <c r="F73" s="254">
        <v>663210000</v>
      </c>
    </row>
    <row r="74" spans="1:6">
      <c r="A74" s="255">
        <v>663220000</v>
      </c>
      <c r="B74" s="255" t="s">
        <v>38</v>
      </c>
      <c r="C74" s="262">
        <v>61</v>
      </c>
      <c r="D74" s="263" t="s">
        <v>2106</v>
      </c>
      <c r="E74" s="262">
        <v>663</v>
      </c>
      <c r="F74" s="254">
        <v>663220000</v>
      </c>
    </row>
    <row r="75" spans="1:6">
      <c r="A75" s="255">
        <v>663230000</v>
      </c>
      <c r="B75" s="255" t="s">
        <v>39</v>
      </c>
      <c r="C75" s="262">
        <v>61</v>
      </c>
      <c r="D75" s="263" t="s">
        <v>2106</v>
      </c>
      <c r="E75" s="262">
        <v>663</v>
      </c>
      <c r="F75" s="254">
        <v>663230000</v>
      </c>
    </row>
    <row r="76" spans="1:6">
      <c r="A76" s="255">
        <v>663240000</v>
      </c>
      <c r="B76" s="255" t="s">
        <v>2109</v>
      </c>
      <c r="C76" s="262">
        <v>61</v>
      </c>
      <c r="D76" s="263" t="s">
        <v>2106</v>
      </c>
      <c r="E76" s="262">
        <v>663</v>
      </c>
      <c r="F76" s="254">
        <v>663240000</v>
      </c>
    </row>
    <row r="77" spans="1:6">
      <c r="A77" s="255">
        <v>681910043</v>
      </c>
      <c r="B77" s="255" t="s">
        <v>245</v>
      </c>
      <c r="C77" s="262">
        <v>43</v>
      </c>
      <c r="D77" s="263" t="s">
        <v>103</v>
      </c>
      <c r="E77" s="262">
        <v>681</v>
      </c>
      <c r="F77" s="273">
        <v>681910043</v>
      </c>
    </row>
    <row r="78" spans="1:6">
      <c r="A78" s="255">
        <v>683110031</v>
      </c>
      <c r="B78" s="255" t="s">
        <v>2110</v>
      </c>
      <c r="C78" s="262">
        <v>31</v>
      </c>
      <c r="D78" s="263" t="s">
        <v>98</v>
      </c>
      <c r="E78" s="262">
        <v>683</v>
      </c>
      <c r="F78" s="273">
        <v>683110031</v>
      </c>
    </row>
    <row r="79" spans="1:6">
      <c r="A79" s="255">
        <v>683110043</v>
      </c>
      <c r="B79" s="255" t="s">
        <v>246</v>
      </c>
      <c r="C79" s="262">
        <v>43</v>
      </c>
      <c r="D79" s="263" t="s">
        <v>103</v>
      </c>
      <c r="E79" s="262">
        <v>683</v>
      </c>
      <c r="F79" s="274">
        <v>683110043</v>
      </c>
    </row>
    <row r="80" spans="1:6">
      <c r="A80" s="255">
        <v>711110071</v>
      </c>
      <c r="B80" s="255" t="s">
        <v>2111</v>
      </c>
      <c r="C80" s="262">
        <v>71</v>
      </c>
      <c r="D80" s="263" t="s">
        <v>2112</v>
      </c>
      <c r="E80" s="262">
        <v>711</v>
      </c>
      <c r="F80" s="275">
        <v>711110071</v>
      </c>
    </row>
    <row r="81" spans="1:6">
      <c r="A81" s="255">
        <v>711120071</v>
      </c>
      <c r="B81" s="255" t="s">
        <v>2113</v>
      </c>
      <c r="C81" s="262">
        <v>71</v>
      </c>
      <c r="D81" s="263" t="s">
        <v>2112</v>
      </c>
      <c r="E81" s="262">
        <v>711</v>
      </c>
      <c r="F81" s="275">
        <v>711120071</v>
      </c>
    </row>
    <row r="82" spans="1:6">
      <c r="A82" s="255">
        <v>712410071</v>
      </c>
      <c r="B82" s="255" t="s">
        <v>248</v>
      </c>
      <c r="C82" s="262">
        <v>71</v>
      </c>
      <c r="D82" s="263" t="s">
        <v>2112</v>
      </c>
      <c r="E82" s="262">
        <v>712</v>
      </c>
      <c r="F82" s="276">
        <v>712410071</v>
      </c>
    </row>
    <row r="83" spans="1:6">
      <c r="A83" s="255">
        <v>712490071</v>
      </c>
      <c r="B83" s="255" t="s">
        <v>249</v>
      </c>
      <c r="C83" s="262">
        <v>71</v>
      </c>
      <c r="D83" s="263" t="s">
        <v>2112</v>
      </c>
      <c r="E83" s="262">
        <v>712</v>
      </c>
      <c r="F83" s="276">
        <v>712490071</v>
      </c>
    </row>
    <row r="84" spans="1:6">
      <c r="A84" s="255">
        <v>721110071</v>
      </c>
      <c r="B84" s="255" t="s">
        <v>250</v>
      </c>
      <c r="C84" s="262">
        <v>71</v>
      </c>
      <c r="D84" s="263" t="s">
        <v>2112</v>
      </c>
      <c r="E84" s="262">
        <v>721</v>
      </c>
      <c r="F84" s="254">
        <v>721110071</v>
      </c>
    </row>
    <row r="85" spans="1:6">
      <c r="A85" s="255">
        <v>721190071</v>
      </c>
      <c r="B85" s="255" t="s">
        <v>251</v>
      </c>
      <c r="C85" s="262">
        <v>71</v>
      </c>
      <c r="D85" s="263" t="s">
        <v>2112</v>
      </c>
      <c r="E85" s="262">
        <v>721</v>
      </c>
      <c r="F85" s="272">
        <v>721190071</v>
      </c>
    </row>
    <row r="86" spans="1:6">
      <c r="A86" s="255">
        <v>721230071</v>
      </c>
      <c r="B86" s="255" t="s">
        <v>252</v>
      </c>
      <c r="C86" s="262">
        <v>71</v>
      </c>
      <c r="D86" s="263" t="s">
        <v>2112</v>
      </c>
      <c r="E86" s="262">
        <v>721</v>
      </c>
      <c r="F86" s="276">
        <v>721230071</v>
      </c>
    </row>
    <row r="87" spans="1:6">
      <c r="A87" s="255">
        <v>721290071</v>
      </c>
      <c r="B87" s="255" t="s">
        <v>253</v>
      </c>
      <c r="C87" s="262">
        <v>71</v>
      </c>
      <c r="D87" s="263" t="s">
        <v>2112</v>
      </c>
      <c r="E87" s="262">
        <v>721</v>
      </c>
      <c r="F87" s="276">
        <v>721290071</v>
      </c>
    </row>
    <row r="88" spans="1:6">
      <c r="A88" s="255">
        <v>722110071</v>
      </c>
      <c r="B88" s="255" t="s">
        <v>254</v>
      </c>
      <c r="C88" s="262">
        <v>71</v>
      </c>
      <c r="D88" s="263" t="s">
        <v>2112</v>
      </c>
      <c r="E88" s="262">
        <v>722</v>
      </c>
      <c r="F88" s="274">
        <v>722110071</v>
      </c>
    </row>
    <row r="89" spans="1:6">
      <c r="A89" s="255">
        <v>722120071</v>
      </c>
      <c r="B89" s="255" t="s">
        <v>2114</v>
      </c>
      <c r="C89" s="262">
        <v>71</v>
      </c>
      <c r="D89" s="263" t="s">
        <v>2112</v>
      </c>
      <c r="E89" s="262">
        <v>722</v>
      </c>
      <c r="F89" s="276">
        <v>722120071</v>
      </c>
    </row>
    <row r="90" spans="1:6">
      <c r="A90" s="255">
        <v>722190071</v>
      </c>
      <c r="B90" s="255" t="s">
        <v>255</v>
      </c>
      <c r="C90" s="262">
        <v>71</v>
      </c>
      <c r="D90" s="263" t="s">
        <v>2112</v>
      </c>
      <c r="E90" s="262">
        <v>722</v>
      </c>
      <c r="F90" s="276">
        <v>722190071</v>
      </c>
    </row>
    <row r="91" spans="1:6">
      <c r="A91" s="255">
        <v>722620071</v>
      </c>
      <c r="B91" s="255" t="s">
        <v>256</v>
      </c>
      <c r="C91" s="262">
        <v>71</v>
      </c>
      <c r="D91" s="263" t="s">
        <v>2112</v>
      </c>
      <c r="E91" s="262">
        <v>722</v>
      </c>
      <c r="F91" s="254">
        <v>722620071</v>
      </c>
    </row>
    <row r="92" spans="1:6">
      <c r="A92" s="255">
        <v>722730071</v>
      </c>
      <c r="B92" s="255" t="s">
        <v>257</v>
      </c>
      <c r="C92" s="262">
        <v>71</v>
      </c>
      <c r="D92" s="263" t="s">
        <v>2112</v>
      </c>
      <c r="E92" s="262">
        <v>722</v>
      </c>
      <c r="F92" s="254">
        <v>722730071</v>
      </c>
    </row>
    <row r="93" spans="1:6">
      <c r="A93" s="255">
        <v>723110071</v>
      </c>
      <c r="B93" s="255" t="s">
        <v>258</v>
      </c>
      <c r="C93" s="262">
        <v>71</v>
      </c>
      <c r="D93" s="263" t="s">
        <v>2112</v>
      </c>
      <c r="E93" s="262">
        <v>723</v>
      </c>
      <c r="F93" s="274">
        <v>723110071</v>
      </c>
    </row>
    <row r="94" spans="1:6">
      <c r="A94" s="255">
        <v>723130071</v>
      </c>
      <c r="B94" s="255" t="s">
        <v>2115</v>
      </c>
      <c r="C94" s="262">
        <v>71</v>
      </c>
      <c r="D94" s="263" t="s">
        <v>2112</v>
      </c>
      <c r="E94" s="262">
        <v>723</v>
      </c>
      <c r="F94" s="274">
        <v>723130071</v>
      </c>
    </row>
    <row r="95" spans="1:6">
      <c r="A95" s="255">
        <v>723140071</v>
      </c>
      <c r="B95" s="255" t="s">
        <v>2116</v>
      </c>
      <c r="C95" s="262">
        <v>71</v>
      </c>
      <c r="D95" s="263" t="s">
        <v>2112</v>
      </c>
      <c r="E95" s="262">
        <v>723</v>
      </c>
      <c r="F95" s="274">
        <v>723140071</v>
      </c>
    </row>
    <row r="96" spans="1:6">
      <c r="A96" s="255">
        <v>723150071</v>
      </c>
      <c r="B96" s="255" t="s">
        <v>2117</v>
      </c>
      <c r="C96" s="262">
        <v>71</v>
      </c>
      <c r="D96" s="263" t="s">
        <v>2112</v>
      </c>
      <c r="E96" s="262">
        <v>723</v>
      </c>
      <c r="F96" s="274">
        <v>723150071</v>
      </c>
    </row>
    <row r="97" spans="1:6">
      <c r="A97" s="255">
        <v>723160071</v>
      </c>
      <c r="B97" s="255" t="s">
        <v>2118</v>
      </c>
      <c r="C97" s="262">
        <v>71</v>
      </c>
      <c r="D97" s="263" t="s">
        <v>2112</v>
      </c>
      <c r="E97" s="262">
        <v>723</v>
      </c>
      <c r="F97" s="274">
        <v>723160071</v>
      </c>
    </row>
    <row r="98" spans="1:6">
      <c r="A98" s="255">
        <v>723310071</v>
      </c>
      <c r="B98" s="255" t="s">
        <v>2119</v>
      </c>
      <c r="C98" s="262">
        <v>71</v>
      </c>
      <c r="D98" s="263" t="s">
        <v>2112</v>
      </c>
      <c r="E98" s="262">
        <v>723</v>
      </c>
      <c r="F98" s="274">
        <v>723310071</v>
      </c>
    </row>
    <row r="99" spans="1:6">
      <c r="A99" s="255">
        <v>725210071</v>
      </c>
      <c r="B99" s="255" t="s">
        <v>259</v>
      </c>
      <c r="C99" s="262">
        <v>71</v>
      </c>
      <c r="D99" s="263" t="s">
        <v>2112</v>
      </c>
      <c r="E99" s="262">
        <v>725</v>
      </c>
      <c r="F99" s="274">
        <v>725210071</v>
      </c>
    </row>
    <row r="100" spans="1:6">
      <c r="A100" s="255">
        <v>812150000</v>
      </c>
      <c r="B100" s="255" t="s">
        <v>2120</v>
      </c>
      <c r="C100" s="262">
        <v>81</v>
      </c>
      <c r="D100" s="263" t="s">
        <v>2121</v>
      </c>
      <c r="E100" s="262">
        <v>812</v>
      </c>
      <c r="F100" s="274">
        <v>812150000</v>
      </c>
    </row>
    <row r="101" spans="1:6">
      <c r="A101" s="255">
        <v>818120043</v>
      </c>
      <c r="B101" s="255" t="s">
        <v>1556</v>
      </c>
      <c r="C101" s="262">
        <v>43</v>
      </c>
      <c r="D101" s="263" t="s">
        <v>103</v>
      </c>
      <c r="E101" s="262">
        <v>818</v>
      </c>
      <c r="F101" s="274">
        <v>818120043</v>
      </c>
    </row>
    <row r="102" spans="1:6">
      <c r="A102" s="255">
        <v>832120043</v>
      </c>
      <c r="B102" s="255" t="s">
        <v>1557</v>
      </c>
      <c r="C102" s="262">
        <v>43</v>
      </c>
      <c r="D102" s="263" t="s">
        <v>103</v>
      </c>
      <c r="E102" s="262">
        <v>832</v>
      </c>
      <c r="F102" s="274">
        <v>832120043</v>
      </c>
    </row>
    <row r="103" spans="1:6">
      <c r="A103" s="255">
        <v>833130043</v>
      </c>
      <c r="B103" s="255" t="s">
        <v>2122</v>
      </c>
      <c r="C103" s="262">
        <v>43</v>
      </c>
      <c r="D103" s="263" t="s">
        <v>103</v>
      </c>
      <c r="E103" s="262">
        <v>833</v>
      </c>
      <c r="F103" s="274">
        <v>833130043</v>
      </c>
    </row>
    <row r="104" spans="1:6">
      <c r="A104" s="255">
        <v>841320133</v>
      </c>
      <c r="B104" s="255" t="s">
        <v>1558</v>
      </c>
      <c r="C104" s="262">
        <v>83</v>
      </c>
      <c r="D104" s="263" t="s">
        <v>1540</v>
      </c>
      <c r="E104" s="262">
        <v>841</v>
      </c>
      <c r="F104" s="274">
        <v>841320133</v>
      </c>
    </row>
    <row r="105" spans="1:6">
      <c r="A105" s="255">
        <v>841320135</v>
      </c>
      <c r="B105" s="255" t="s">
        <v>1559</v>
      </c>
      <c r="C105" s="262">
        <v>83</v>
      </c>
      <c r="D105" s="263" t="s">
        <v>1540</v>
      </c>
      <c r="E105" s="262">
        <v>841</v>
      </c>
      <c r="F105" s="274">
        <v>841320135</v>
      </c>
    </row>
    <row r="106" spans="1:6">
      <c r="A106" s="255">
        <v>842220081</v>
      </c>
      <c r="B106" s="255" t="s">
        <v>2123</v>
      </c>
      <c r="C106" s="262">
        <v>81</v>
      </c>
      <c r="D106" s="263" t="s">
        <v>2121</v>
      </c>
      <c r="E106" s="262">
        <v>842</v>
      </c>
      <c r="F106" s="274">
        <v>842220081</v>
      </c>
    </row>
    <row r="107" spans="1:6">
      <c r="A107" s="265"/>
      <c r="B107" s="265"/>
      <c r="C107" s="266"/>
      <c r="D107" s="267"/>
      <c r="E107" s="266"/>
    </row>
    <row r="111" spans="1:6">
      <c r="A111" s="270"/>
      <c r="B111" s="270"/>
      <c r="C111" s="270"/>
      <c r="D111" s="270"/>
      <c r="E111" s="270"/>
      <c r="F111" s="270"/>
    </row>
    <row r="112" spans="1:6">
      <c r="A112" s="270"/>
      <c r="B112" s="270"/>
      <c r="C112" s="270"/>
      <c r="D112" s="270"/>
      <c r="E112" s="270"/>
      <c r="F112" s="270"/>
    </row>
    <row r="113" spans="1:6">
      <c r="A113" s="270"/>
      <c r="B113" s="270"/>
      <c r="C113" s="270"/>
      <c r="D113" s="270"/>
      <c r="E113" s="270"/>
      <c r="F113" s="270"/>
    </row>
    <row r="114" spans="1:6">
      <c r="A114" s="270"/>
      <c r="B114" s="270"/>
      <c r="C114" s="270"/>
      <c r="D114" s="270"/>
      <c r="E114" s="270"/>
      <c r="F114" s="270"/>
    </row>
    <row r="115" spans="1:6">
      <c r="A115" s="270"/>
      <c r="B115" s="270"/>
      <c r="C115" s="270"/>
      <c r="D115" s="270"/>
      <c r="E115" s="270"/>
      <c r="F115" s="270"/>
    </row>
    <row r="116" spans="1:6">
      <c r="A116" s="270"/>
      <c r="B116" s="270"/>
      <c r="C116" s="270"/>
      <c r="D116" s="270"/>
      <c r="E116" s="270"/>
      <c r="F116" s="270"/>
    </row>
    <row r="117" spans="1:6">
      <c r="A117" s="270"/>
      <c r="B117" s="270"/>
      <c r="C117" s="270"/>
      <c r="D117" s="270"/>
      <c r="E117" s="270"/>
      <c r="F117" s="270"/>
    </row>
    <row r="118" spans="1:6">
      <c r="A118" s="270"/>
      <c r="B118" s="270"/>
      <c r="C118" s="270"/>
      <c r="D118" s="270"/>
      <c r="E118" s="270"/>
      <c r="F118" s="270"/>
    </row>
    <row r="119" spans="1:6">
      <c r="A119" s="270"/>
      <c r="B119" s="270"/>
      <c r="C119" s="270"/>
      <c r="D119" s="270"/>
      <c r="E119" s="270"/>
      <c r="F119" s="270"/>
    </row>
    <row r="120" spans="1:6">
      <c r="A120" s="270"/>
      <c r="B120" s="270"/>
      <c r="C120" s="270"/>
      <c r="D120" s="270"/>
      <c r="E120" s="270"/>
      <c r="F120" s="270"/>
    </row>
    <row r="121" spans="1:6">
      <c r="A121" s="270"/>
      <c r="B121" s="270"/>
      <c r="C121" s="270"/>
      <c r="D121" s="270"/>
      <c r="E121" s="270"/>
      <c r="F121" s="270"/>
    </row>
    <row r="122" spans="1:6">
      <c r="A122" s="270"/>
      <c r="B122" s="270"/>
      <c r="C122" s="270"/>
      <c r="D122" s="270"/>
      <c r="E122" s="270"/>
      <c r="F122" s="270"/>
    </row>
    <row r="123" spans="1:6">
      <c r="A123" s="270"/>
      <c r="B123" s="270"/>
      <c r="C123" s="270"/>
      <c r="D123" s="270"/>
      <c r="E123" s="270"/>
      <c r="F123" s="27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U508"/>
  <sheetViews>
    <sheetView showGridLines="0" zoomScaleNormal="100" workbookViewId="0">
      <pane ySplit="2" topLeftCell="A3" activePane="bottomLeft" state="frozen"/>
      <selection pane="bottomLeft" activeCell="H9" sqref="H9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21" width="9.140625" hidden="1" customWidth="1"/>
    <col min="22" max="22" width="0" hidden="1" customWidth="1"/>
  </cols>
  <sheetData>
    <row r="1" spans="1:21" ht="37.5" customHeight="1">
      <c r="A1" s="288" t="s">
        <v>758</v>
      </c>
      <c r="B1" s="288"/>
      <c r="C1" s="288"/>
      <c r="D1" s="288"/>
      <c r="E1" s="190" t="str">
        <f>IF('Opći dio'!C3="odaberite -","Molimo odaberite proračunskog korisnika na radnom listu Opći podaci!","")</f>
        <v/>
      </c>
    </row>
    <row r="2" spans="1:21" ht="36" customHeight="1">
      <c r="A2" s="67" t="s">
        <v>43</v>
      </c>
      <c r="B2" s="67" t="s">
        <v>44</v>
      </c>
      <c r="C2" s="67" t="s">
        <v>45</v>
      </c>
      <c r="D2" s="67" t="s">
        <v>46</v>
      </c>
      <c r="E2" s="148" t="s">
        <v>784</v>
      </c>
      <c r="F2" s="67" t="s">
        <v>785</v>
      </c>
      <c r="G2" s="192" t="s">
        <v>2141</v>
      </c>
      <c r="H2" s="192" t="s">
        <v>2142</v>
      </c>
      <c r="I2" s="192" t="s">
        <v>2143</v>
      </c>
      <c r="K2" s="144" t="s">
        <v>759</v>
      </c>
      <c r="L2" s="144" t="s">
        <v>760</v>
      </c>
      <c r="Q2" s="61" t="s">
        <v>776</v>
      </c>
    </row>
    <row r="3" spans="1:21">
      <c r="A3" s="139" t="str">
        <f>IF(E3="","",VLOOKUP('Opći dio'!$C$3,'Opći dio'!$L$6:$U$136,10,FALSE))</f>
        <v>08006</v>
      </c>
      <c r="B3" s="139" t="str">
        <f>IF(E3="","",VLOOKUP('Opći dio'!$C$3,'Opći dio'!$L$6:$U$136,9,FALSE))</f>
        <v>Sveučilišta i veleučilišta u Republici Hrvatskoj</v>
      </c>
      <c r="C3" s="187">
        <f t="shared" ref="C3" si="0">IFERROR(VLOOKUP(E3,$Q$6:$T$200,3,FALSE),"")</f>
        <v>11</v>
      </c>
      <c r="D3" s="138" t="str">
        <f t="shared" ref="D3" si="1">IFERROR(VLOOKUP(E3,$Q$6:$T$200,4,FALSE),"")</f>
        <v>Opći prihodi i primici</v>
      </c>
      <c r="E3" s="150" t="s">
        <v>776</v>
      </c>
      <c r="F3" s="191" t="str">
        <f t="shared" ref="F3" si="2">IFERROR(VLOOKUP(E3,$Q$6:$T$200,2,FALSE),"")</f>
        <v>Prihodi iz nadležnog proračuna za financiranje redovne djelatnosti proračunskih korisnika</v>
      </c>
      <c r="G3" s="185">
        <v>7378867</v>
      </c>
      <c r="H3" s="185">
        <v>7614990</v>
      </c>
      <c r="I3" s="185">
        <v>7653066</v>
      </c>
      <c r="K3" s="141" t="str">
        <f>LEFT(E3,3)</f>
        <v>671</v>
      </c>
      <c r="L3" s="141" t="str">
        <f>LEFT(E3,2)</f>
        <v>67</v>
      </c>
      <c r="M3" t="s">
        <v>370</v>
      </c>
      <c r="Q3" s="61" t="s">
        <v>777</v>
      </c>
    </row>
    <row r="4" spans="1:21">
      <c r="A4" s="139" t="str">
        <f>IF(E4="","",VLOOKUP('Opći dio'!$C$3,'Opći dio'!$L$6:$U$136,10,FALSE))</f>
        <v>08006</v>
      </c>
      <c r="B4" s="139" t="str">
        <f>IF(E4="","",VLOOKUP('Opći dio'!$C$3,'Opći dio'!$L$6:$U$136,9,FALSE))</f>
        <v>Sveučilišta i veleučilišta u Republici Hrvatskoj</v>
      </c>
      <c r="C4" s="187">
        <f t="shared" ref="C4:C67" si="3">IFERROR(VLOOKUP(E4,$Q$6:$T$200,3,FALSE),"")</f>
        <v>52</v>
      </c>
      <c r="D4" s="138" t="str">
        <f t="shared" ref="D4:D67" si="4">IFERROR(VLOOKUP(E4,$Q$6:$T$200,4,FALSE),"")</f>
        <v xml:space="preserve">Ostale pomoći i darovnice </v>
      </c>
      <c r="E4" s="150">
        <v>636130000</v>
      </c>
      <c r="F4" s="191" t="str">
        <f t="shared" ref="F4:F67" si="5">IFERROR(VLOOKUP(E4,$Q$6:$T$200,2,FALSE),"")</f>
        <v>Tekuće pomoći proračunskim korisnicima iz proračuna JLP(R)S koji im nije nadležan</v>
      </c>
      <c r="G4" s="185">
        <v>20000</v>
      </c>
      <c r="H4" s="185">
        <v>20000</v>
      </c>
      <c r="I4" s="185">
        <v>20000</v>
      </c>
      <c r="K4" s="141" t="str">
        <f t="shared" ref="K4:K67" si="6">LEFT(E4,3)</f>
        <v>636</v>
      </c>
      <c r="L4" s="141" t="str">
        <f t="shared" ref="L4:L67" si="7">LEFT(E4,2)</f>
        <v>63</v>
      </c>
    </row>
    <row r="5" spans="1:21">
      <c r="A5" s="139" t="str">
        <f>IF(E5="","",VLOOKUP('Opći dio'!$C$3,'Opći dio'!$L$6:$U$136,10,FALSE))</f>
        <v>08006</v>
      </c>
      <c r="B5" s="139" t="str">
        <f>IF(E5="","",VLOOKUP('Opći dio'!$C$3,'Opći dio'!$L$6:$U$136,9,FALSE))</f>
        <v>Sveučilišta i veleučilišta u Republici Hrvatskoj</v>
      </c>
      <c r="C5" s="187">
        <f t="shared" si="3"/>
        <v>11</v>
      </c>
      <c r="D5" s="138" t="str">
        <f t="shared" si="4"/>
        <v>Opći prihodi i primici</v>
      </c>
      <c r="E5" s="150" t="s">
        <v>776</v>
      </c>
      <c r="F5" s="191" t="str">
        <f t="shared" si="5"/>
        <v>Prihodi iz nadležnog proračuna za financiranje redovne djelatnosti proračunskih korisnika</v>
      </c>
      <c r="G5" s="185">
        <v>296033</v>
      </c>
      <c r="H5" s="185">
        <v>325637</v>
      </c>
      <c r="I5" s="185">
        <v>325637</v>
      </c>
      <c r="K5" s="141" t="str">
        <f t="shared" si="6"/>
        <v>671</v>
      </c>
      <c r="L5" s="141" t="str">
        <f t="shared" si="7"/>
        <v>67</v>
      </c>
      <c r="M5" s="141" t="s">
        <v>45</v>
      </c>
      <c r="N5" s="141" t="s">
        <v>46</v>
      </c>
      <c r="Q5" s="68" t="s">
        <v>761</v>
      </c>
      <c r="R5" s="67" t="s">
        <v>778</v>
      </c>
      <c r="S5" s="67" t="s">
        <v>779</v>
      </c>
      <c r="T5" s="67" t="s">
        <v>46</v>
      </c>
      <c r="U5" s="149" t="s">
        <v>780</v>
      </c>
    </row>
    <row r="6" spans="1:21">
      <c r="A6" s="139" t="str">
        <f>IF(E6="","",VLOOKUP('Opći dio'!$C$3,'Opći dio'!$L$6:$U$136,10,FALSE))</f>
        <v>08006</v>
      </c>
      <c r="B6" s="139" t="str">
        <f>IF(E6="","",VLOOKUP('Opći dio'!$C$3,'Opći dio'!$L$6:$U$136,9,FALSE))</f>
        <v>Sveučilišta i veleučilišta u Republici Hrvatskoj</v>
      </c>
      <c r="C6" s="187">
        <f t="shared" si="3"/>
        <v>31</v>
      </c>
      <c r="D6" s="138" t="str">
        <f t="shared" si="4"/>
        <v>Vlastiti prihodi</v>
      </c>
      <c r="E6" s="150">
        <v>641320031</v>
      </c>
      <c r="F6" s="191" t="str">
        <f t="shared" si="5"/>
        <v>Kamate na depozite po viđenju izvor 31</v>
      </c>
      <c r="G6" s="185">
        <v>100</v>
      </c>
      <c r="H6" s="185">
        <v>100</v>
      </c>
      <c r="I6" s="185">
        <v>100</v>
      </c>
      <c r="K6" s="141" t="str">
        <f t="shared" si="6"/>
        <v>641</v>
      </c>
      <c r="L6" s="141" t="str">
        <f t="shared" si="7"/>
        <v>64</v>
      </c>
      <c r="M6" s="141">
        <v>11</v>
      </c>
      <c r="N6" s="141" t="s">
        <v>53</v>
      </c>
      <c r="Q6" s="6" t="s">
        <v>776</v>
      </c>
      <c r="R6" s="6" t="s">
        <v>260</v>
      </c>
      <c r="S6" s="6">
        <v>11</v>
      </c>
      <c r="T6" s="6" t="s">
        <v>53</v>
      </c>
      <c r="U6">
        <v>671</v>
      </c>
    </row>
    <row r="7" spans="1:21">
      <c r="A7" s="139" t="str">
        <f>IF(E7="","",VLOOKUP('Opći dio'!$C$3,'Opći dio'!$L$6:$U$136,10,FALSE))</f>
        <v>08006</v>
      </c>
      <c r="B7" s="139" t="str">
        <f>IF(E7="","",VLOOKUP('Opći dio'!$C$3,'Opći dio'!$L$6:$U$136,9,FALSE))</f>
        <v>Sveučilišta i veleučilišta u Republici Hrvatskoj</v>
      </c>
      <c r="C7" s="187">
        <f t="shared" si="3"/>
        <v>43</v>
      </c>
      <c r="D7" s="138" t="str">
        <f t="shared" si="4"/>
        <v>Ostali prihodi za posebne namjene</v>
      </c>
      <c r="E7" s="150">
        <v>652640000</v>
      </c>
      <c r="F7" s="191" t="str">
        <f t="shared" si="5"/>
        <v>Sufinanciranje cijene usluge, participacije i slično</v>
      </c>
      <c r="G7" s="185">
        <v>200000</v>
      </c>
      <c r="H7" s="185">
        <v>242250</v>
      </c>
      <c r="I7" s="185">
        <v>251350</v>
      </c>
      <c r="K7" s="141" t="str">
        <f t="shared" si="6"/>
        <v>652</v>
      </c>
      <c r="L7" s="141" t="str">
        <f t="shared" si="7"/>
        <v>65</v>
      </c>
      <c r="M7" s="141">
        <v>12</v>
      </c>
      <c r="N7" s="141" t="s">
        <v>263</v>
      </c>
      <c r="Q7" s="6" t="s">
        <v>777</v>
      </c>
      <c r="R7" s="6" t="s">
        <v>260</v>
      </c>
      <c r="S7" s="6">
        <v>12</v>
      </c>
      <c r="T7" s="6" t="s">
        <v>263</v>
      </c>
      <c r="U7">
        <v>671</v>
      </c>
    </row>
    <row r="8" spans="1:21">
      <c r="A8" s="139" t="str">
        <f>IF(E8="","",VLOOKUP('Opći dio'!$C$3,'Opći dio'!$L$6:$U$136,10,FALSE))</f>
        <v>08006</v>
      </c>
      <c r="B8" s="139" t="str">
        <f>IF(E8="","",VLOOKUP('Opći dio'!$C$3,'Opći dio'!$L$6:$U$136,9,FALSE))</f>
        <v>Sveučilišta i veleučilišta u Republici Hrvatskoj</v>
      </c>
      <c r="C8" s="187">
        <f t="shared" si="3"/>
        <v>43</v>
      </c>
      <c r="D8" s="138" t="str">
        <f t="shared" si="4"/>
        <v>Ostali prihodi za posebne namjene</v>
      </c>
      <c r="E8" s="150">
        <v>652680000</v>
      </c>
      <c r="F8" s="191" t="str">
        <f t="shared" si="5"/>
        <v xml:space="preserve">Ostali prihodi za posebne namjene </v>
      </c>
      <c r="G8" s="185">
        <v>240000</v>
      </c>
      <c r="H8" s="185">
        <v>243000</v>
      </c>
      <c r="I8" s="185">
        <v>245000</v>
      </c>
      <c r="K8" s="141" t="str">
        <f t="shared" si="6"/>
        <v>652</v>
      </c>
      <c r="L8" s="141" t="str">
        <f t="shared" si="7"/>
        <v>65</v>
      </c>
      <c r="M8" s="141">
        <v>31</v>
      </c>
      <c r="N8" s="141" t="s">
        <v>98</v>
      </c>
      <c r="Q8" s="6">
        <v>614810041</v>
      </c>
      <c r="R8" s="6" t="s">
        <v>1541</v>
      </c>
      <c r="S8" s="6">
        <v>41</v>
      </c>
      <c r="T8" s="6" t="s">
        <v>1537</v>
      </c>
      <c r="U8">
        <v>614</v>
      </c>
    </row>
    <row r="9" spans="1:21">
      <c r="A9" s="139" t="str">
        <f>IF(E9="","",VLOOKUP('Opći dio'!$C$3,'Opći dio'!$L$6:$U$136,10,FALSE))</f>
        <v>08006</v>
      </c>
      <c r="B9" s="139" t="str">
        <f>IF(E9="","",VLOOKUP('Opći dio'!$C$3,'Opći dio'!$L$6:$U$136,9,FALSE))</f>
        <v>Sveučilišta i veleučilišta u Republici Hrvatskoj</v>
      </c>
      <c r="C9" s="187">
        <f t="shared" si="3"/>
        <v>31</v>
      </c>
      <c r="D9" s="138" t="str">
        <f t="shared" si="4"/>
        <v>Vlastiti prihodi</v>
      </c>
      <c r="E9" s="150">
        <v>6614</v>
      </c>
      <c r="F9" s="191" t="str">
        <f t="shared" si="5"/>
        <v>Prihodi od prodanih proizvoda i robe</v>
      </c>
      <c r="G9" s="185">
        <v>15000</v>
      </c>
      <c r="H9" s="185">
        <v>16000</v>
      </c>
      <c r="I9" s="185">
        <v>17000</v>
      </c>
      <c r="K9" s="141" t="str">
        <f t="shared" si="6"/>
        <v>661</v>
      </c>
      <c r="L9" s="141" t="str">
        <f t="shared" si="7"/>
        <v>66</v>
      </c>
      <c r="M9">
        <v>41</v>
      </c>
      <c r="N9" t="s">
        <v>1537</v>
      </c>
      <c r="Q9" s="6">
        <v>614820041</v>
      </c>
      <c r="R9" s="6" t="s">
        <v>1542</v>
      </c>
      <c r="S9" s="6">
        <v>41</v>
      </c>
      <c r="T9" s="6" t="s">
        <v>1537</v>
      </c>
      <c r="U9">
        <v>614</v>
      </c>
    </row>
    <row r="10" spans="1:21">
      <c r="A10" s="139" t="str">
        <f>IF(E10="","",VLOOKUP('Opći dio'!$C$3,'Opći dio'!$L$6:$U$136,10,FALSE))</f>
        <v>08006</v>
      </c>
      <c r="B10" s="139" t="str">
        <f>IF(E10="","",VLOOKUP('Opći dio'!$C$3,'Opći dio'!$L$6:$U$136,9,FALSE))</f>
        <v>Sveučilišta i veleučilišta u Republici Hrvatskoj</v>
      </c>
      <c r="C10" s="187">
        <f t="shared" si="3"/>
        <v>31</v>
      </c>
      <c r="D10" s="138" t="str">
        <f t="shared" si="4"/>
        <v>Vlastiti prihodi</v>
      </c>
      <c r="E10" s="150">
        <v>6615</v>
      </c>
      <c r="F10" s="191" t="str">
        <f t="shared" si="5"/>
        <v>Prihodi od pruženih usluga</v>
      </c>
      <c r="G10" s="185">
        <v>50000</v>
      </c>
      <c r="H10" s="185">
        <v>55000</v>
      </c>
      <c r="I10" s="185">
        <v>60000</v>
      </c>
      <c r="K10" s="141" t="str">
        <f t="shared" si="6"/>
        <v>661</v>
      </c>
      <c r="L10" s="141" t="str">
        <f t="shared" si="7"/>
        <v>66</v>
      </c>
      <c r="M10" s="141">
        <v>43</v>
      </c>
      <c r="N10" s="141" t="s">
        <v>103</v>
      </c>
      <c r="Q10" s="6">
        <v>614830041</v>
      </c>
      <c r="R10" s="6" t="s">
        <v>1543</v>
      </c>
      <c r="S10" s="6">
        <v>41</v>
      </c>
      <c r="T10" s="6" t="s">
        <v>1537</v>
      </c>
      <c r="U10">
        <v>614</v>
      </c>
    </row>
    <row r="11" spans="1:21">
      <c r="A11" s="139" t="str">
        <f>IF(E11="","",VLOOKUP('Opći dio'!$C$3,'Opći dio'!$L$6:$U$136,10,FALSE))</f>
        <v>08006</v>
      </c>
      <c r="B11" s="139" t="str">
        <f>IF(E11="","",VLOOKUP('Opći dio'!$C$3,'Opći dio'!$L$6:$U$136,9,FALSE))</f>
        <v>Sveučilišta i veleučilišta u Republici Hrvatskoj</v>
      </c>
      <c r="C11" s="187">
        <f t="shared" si="3"/>
        <v>31</v>
      </c>
      <c r="D11" s="138" t="str">
        <f t="shared" si="4"/>
        <v>Vlastiti prihodi</v>
      </c>
      <c r="E11" s="150">
        <v>683110031</v>
      </c>
      <c r="F11" s="191" t="str">
        <f t="shared" si="5"/>
        <v>Ostali prihodi izvor 31</v>
      </c>
      <c r="G11" s="185">
        <v>5000</v>
      </c>
      <c r="H11" s="185">
        <v>6000</v>
      </c>
      <c r="I11" s="185">
        <v>6000</v>
      </c>
      <c r="K11" s="141" t="str">
        <f t="shared" si="6"/>
        <v>683</v>
      </c>
      <c r="L11" s="141" t="str">
        <f t="shared" si="7"/>
        <v>68</v>
      </c>
      <c r="M11" s="141">
        <v>51</v>
      </c>
      <c r="N11" s="141" t="s">
        <v>93</v>
      </c>
      <c r="Q11" s="6">
        <v>614840041</v>
      </c>
      <c r="R11" s="6" t="s">
        <v>1544</v>
      </c>
      <c r="S11" s="6">
        <v>41</v>
      </c>
      <c r="T11" s="6" t="s">
        <v>1537</v>
      </c>
      <c r="U11">
        <v>614</v>
      </c>
    </row>
    <row r="12" spans="1:21">
      <c r="A12" s="139" t="str">
        <f>IF(E12="","",VLOOKUP('Opći dio'!$C$3,'Opći dio'!$L$6:$U$136,10,FALSE))</f>
        <v/>
      </c>
      <c r="B12" s="139" t="str">
        <f>IF(E12="","",VLOOKUP('Opći dio'!$C$3,'Opći dio'!$L$6:$U$136,9,FALSE))</f>
        <v/>
      </c>
      <c r="C12" s="187" t="str">
        <f t="shared" si="3"/>
        <v/>
      </c>
      <c r="D12" s="138" t="str">
        <f t="shared" si="4"/>
        <v/>
      </c>
      <c r="E12" s="150"/>
      <c r="F12" s="191" t="str">
        <f t="shared" si="5"/>
        <v/>
      </c>
      <c r="G12" s="185"/>
      <c r="H12" s="185"/>
      <c r="I12" s="185"/>
      <c r="K12" s="141" t="str">
        <f t="shared" si="6"/>
        <v/>
      </c>
      <c r="L12" s="141" t="str">
        <f t="shared" si="7"/>
        <v/>
      </c>
      <c r="M12" s="141">
        <v>52</v>
      </c>
      <c r="N12" s="141" t="s">
        <v>116</v>
      </c>
      <c r="Q12" s="6">
        <v>631110000</v>
      </c>
      <c r="R12" s="6" t="s">
        <v>25</v>
      </c>
      <c r="S12" s="6">
        <v>52</v>
      </c>
      <c r="T12" s="6" t="s">
        <v>2088</v>
      </c>
      <c r="U12">
        <v>631</v>
      </c>
    </row>
    <row r="13" spans="1:21">
      <c r="A13" s="139" t="str">
        <f>IF(E13="","",VLOOKUP('Opći dio'!$C$3,'Opći dio'!$L$6:$U$136,10,FALSE))</f>
        <v/>
      </c>
      <c r="B13" s="139" t="str">
        <f>IF(E13="","",VLOOKUP('Opći dio'!$C$3,'Opći dio'!$L$6:$U$136,9,FALSE))</f>
        <v/>
      </c>
      <c r="C13" s="187" t="str">
        <f t="shared" si="3"/>
        <v/>
      </c>
      <c r="D13" s="138" t="str">
        <f t="shared" si="4"/>
        <v/>
      </c>
      <c r="E13" s="150"/>
      <c r="F13" s="191" t="str">
        <f t="shared" si="5"/>
        <v/>
      </c>
      <c r="G13" s="185"/>
      <c r="H13" s="185"/>
      <c r="I13" s="185"/>
      <c r="K13" s="141" t="str">
        <f t="shared" si="6"/>
        <v/>
      </c>
      <c r="L13" s="141" t="str">
        <f t="shared" si="7"/>
        <v/>
      </c>
      <c r="M13">
        <v>552</v>
      </c>
      <c r="N13" t="s">
        <v>1538</v>
      </c>
      <c r="Q13" s="6">
        <v>631120000</v>
      </c>
      <c r="R13" s="6" t="s">
        <v>26</v>
      </c>
      <c r="S13" s="6">
        <v>52</v>
      </c>
      <c r="T13" s="6" t="s">
        <v>2088</v>
      </c>
      <c r="U13">
        <v>631</v>
      </c>
    </row>
    <row r="14" spans="1:21">
      <c r="A14" s="139" t="str">
        <f>IF(E14="","",VLOOKUP('Opći dio'!$C$3,'Opći dio'!$L$6:$U$136,10,FALSE))</f>
        <v/>
      </c>
      <c r="B14" s="139" t="str">
        <f>IF(E14="","",VLOOKUP('Opći dio'!$C$3,'Opći dio'!$L$6:$U$136,9,FALSE))</f>
        <v/>
      </c>
      <c r="C14" s="187" t="str">
        <f t="shared" si="3"/>
        <v/>
      </c>
      <c r="D14" s="138" t="str">
        <f t="shared" si="4"/>
        <v/>
      </c>
      <c r="E14" s="150"/>
      <c r="F14" s="191" t="str">
        <f t="shared" si="5"/>
        <v/>
      </c>
      <c r="G14" s="185"/>
      <c r="H14" s="185"/>
      <c r="I14" s="185"/>
      <c r="K14" s="141" t="str">
        <f t="shared" si="6"/>
        <v/>
      </c>
      <c r="L14" s="141" t="str">
        <f t="shared" si="7"/>
        <v/>
      </c>
      <c r="M14">
        <v>559</v>
      </c>
      <c r="N14" t="s">
        <v>1539</v>
      </c>
      <c r="Q14" s="6">
        <v>631210000</v>
      </c>
      <c r="R14" s="6" t="s">
        <v>27</v>
      </c>
      <c r="S14" s="6">
        <v>52</v>
      </c>
      <c r="T14" s="6" t="s">
        <v>2088</v>
      </c>
      <c r="U14">
        <v>631</v>
      </c>
    </row>
    <row r="15" spans="1:21">
      <c r="A15" s="139" t="str">
        <f>IF(E15="","",VLOOKUP('Opći dio'!$C$3,'Opći dio'!$L$6:$U$136,10,FALSE))</f>
        <v/>
      </c>
      <c r="B15" s="139" t="str">
        <f>IF(E15="","",VLOOKUP('Opći dio'!$C$3,'Opći dio'!$L$6:$U$136,9,FALSE))</f>
        <v/>
      </c>
      <c r="C15" s="187" t="str">
        <f t="shared" si="3"/>
        <v/>
      </c>
      <c r="D15" s="138" t="str">
        <f t="shared" si="4"/>
        <v/>
      </c>
      <c r="E15" s="150"/>
      <c r="F15" s="191" t="str">
        <f t="shared" si="5"/>
        <v/>
      </c>
      <c r="G15" s="185"/>
      <c r="H15" s="185"/>
      <c r="I15" s="185"/>
      <c r="K15" s="141" t="str">
        <f t="shared" si="6"/>
        <v/>
      </c>
      <c r="L15" s="141" t="str">
        <f t="shared" si="7"/>
        <v/>
      </c>
      <c r="M15" s="141">
        <v>561</v>
      </c>
      <c r="N15" s="141" t="s">
        <v>118</v>
      </c>
      <c r="Q15" s="6">
        <v>631220000</v>
      </c>
      <c r="R15" s="6" t="s">
        <v>28</v>
      </c>
      <c r="S15" s="6">
        <v>52</v>
      </c>
      <c r="T15" s="6" t="s">
        <v>2088</v>
      </c>
      <c r="U15">
        <v>631</v>
      </c>
    </row>
    <row r="16" spans="1:21">
      <c r="A16" s="139" t="str">
        <f>IF(E16="","",VLOOKUP('Opći dio'!$C$3,'Opći dio'!$L$6:$U$136,10,FALSE))</f>
        <v/>
      </c>
      <c r="B16" s="139" t="str">
        <f>IF(E16="","",VLOOKUP('Opći dio'!$C$3,'Opći dio'!$L$6:$U$136,9,FALSE))</f>
        <v/>
      </c>
      <c r="C16" s="187" t="str">
        <f t="shared" si="3"/>
        <v/>
      </c>
      <c r="D16" s="138" t="str">
        <f t="shared" si="4"/>
        <v/>
      </c>
      <c r="E16" s="150"/>
      <c r="F16" s="191" t="str">
        <f t="shared" si="5"/>
        <v/>
      </c>
      <c r="G16" s="185"/>
      <c r="H16" s="185"/>
      <c r="I16" s="185"/>
      <c r="K16" s="141" t="str">
        <f t="shared" si="6"/>
        <v/>
      </c>
      <c r="L16" s="141" t="str">
        <f t="shared" si="7"/>
        <v/>
      </c>
      <c r="M16" s="141">
        <v>563</v>
      </c>
      <c r="N16" s="141" t="s">
        <v>120</v>
      </c>
      <c r="Q16" s="6">
        <v>632112000</v>
      </c>
      <c r="R16" s="6" t="s">
        <v>2089</v>
      </c>
      <c r="S16" s="6">
        <v>52</v>
      </c>
      <c r="T16" s="6" t="s">
        <v>2088</v>
      </c>
      <c r="U16">
        <v>632</v>
      </c>
    </row>
    <row r="17" spans="1:21">
      <c r="A17" s="139" t="str">
        <f>IF(E17="","",VLOOKUP('Opći dio'!$C$3,'Opći dio'!$L$6:$U$136,10,FALSE))</f>
        <v/>
      </c>
      <c r="B17" s="139" t="str">
        <f>IF(E17="","",VLOOKUP('Opći dio'!$C$3,'Opći dio'!$L$6:$U$136,9,FALSE))</f>
        <v/>
      </c>
      <c r="C17" s="187" t="str">
        <f t="shared" si="3"/>
        <v/>
      </c>
      <c r="D17" s="138" t="str">
        <f t="shared" si="4"/>
        <v/>
      </c>
      <c r="E17" s="150"/>
      <c r="F17" s="191" t="str">
        <f t="shared" si="5"/>
        <v/>
      </c>
      <c r="G17" s="185"/>
      <c r="H17" s="185"/>
      <c r="I17" s="185"/>
      <c r="K17" s="141" t="str">
        <f t="shared" si="6"/>
        <v/>
      </c>
      <c r="L17" s="141" t="str">
        <f t="shared" si="7"/>
        <v/>
      </c>
      <c r="M17" s="141">
        <v>573</v>
      </c>
      <c r="N17" t="s">
        <v>1549</v>
      </c>
      <c r="Q17" s="6">
        <v>632212000</v>
      </c>
      <c r="R17" s="6" t="s">
        <v>2090</v>
      </c>
      <c r="S17" s="6">
        <v>52</v>
      </c>
      <c r="T17" s="6" t="s">
        <v>2088</v>
      </c>
      <c r="U17">
        <v>632</v>
      </c>
    </row>
    <row r="18" spans="1:21">
      <c r="A18" s="139" t="str">
        <f>IF(E18="","",VLOOKUP('Opći dio'!$C$3,'Opći dio'!$L$6:$U$136,10,FALSE))</f>
        <v/>
      </c>
      <c r="B18" s="139" t="str">
        <f>IF(E18="","",VLOOKUP('Opći dio'!$C$3,'Opći dio'!$L$6:$U$136,9,FALSE))</f>
        <v/>
      </c>
      <c r="C18" s="187" t="str">
        <f t="shared" si="3"/>
        <v/>
      </c>
      <c r="D18" s="138" t="str">
        <f t="shared" si="4"/>
        <v/>
      </c>
      <c r="E18" s="150"/>
      <c r="F18" s="191" t="str">
        <f t="shared" si="5"/>
        <v/>
      </c>
      <c r="G18" s="185"/>
      <c r="H18" s="185"/>
      <c r="I18" s="185"/>
      <c r="K18" s="141" t="str">
        <f t="shared" si="6"/>
        <v/>
      </c>
      <c r="L18" s="141" t="str">
        <f t="shared" si="7"/>
        <v/>
      </c>
      <c r="M18">
        <v>575</v>
      </c>
      <c r="N18" t="s">
        <v>1551</v>
      </c>
      <c r="Q18" s="6">
        <v>632310552</v>
      </c>
      <c r="R18" s="6" t="s">
        <v>1546</v>
      </c>
      <c r="S18" s="6">
        <v>552</v>
      </c>
      <c r="T18" s="6" t="s">
        <v>1538</v>
      </c>
      <c r="U18">
        <v>632</v>
      </c>
    </row>
    <row r="19" spans="1:21">
      <c r="A19" s="139" t="str">
        <f>IF(E19="","",VLOOKUP('Opći dio'!$C$3,'Opći dio'!$L$6:$U$136,10,FALSE))</f>
        <v/>
      </c>
      <c r="B19" s="139" t="str">
        <f>IF(E19="","",VLOOKUP('Opći dio'!$C$3,'Opći dio'!$L$6:$U$136,9,FALSE))</f>
        <v/>
      </c>
      <c r="C19" s="187" t="str">
        <f t="shared" si="3"/>
        <v/>
      </c>
      <c r="D19" s="138" t="str">
        <f t="shared" si="4"/>
        <v/>
      </c>
      <c r="E19" s="150"/>
      <c r="F19" s="191" t="str">
        <f t="shared" si="5"/>
        <v/>
      </c>
      <c r="G19" s="185"/>
      <c r="H19" s="185"/>
      <c r="I19" s="185"/>
      <c r="K19" s="141" t="str">
        <f t="shared" si="6"/>
        <v/>
      </c>
      <c r="L19" s="141" t="str">
        <f t="shared" si="7"/>
        <v/>
      </c>
      <c r="M19" s="223">
        <v>576</v>
      </c>
      <c r="N19" s="224" t="s">
        <v>2126</v>
      </c>
      <c r="Q19" s="6">
        <v>632310559</v>
      </c>
      <c r="R19" s="6" t="s">
        <v>1547</v>
      </c>
      <c r="S19" s="6">
        <v>559</v>
      </c>
      <c r="T19" s="6" t="s">
        <v>1539</v>
      </c>
      <c r="U19">
        <v>632</v>
      </c>
    </row>
    <row r="20" spans="1:21">
      <c r="A20" s="139" t="str">
        <f>IF(E20="","",VLOOKUP('Opći dio'!$C$3,'Opći dio'!$L$6:$U$136,10,FALSE))</f>
        <v/>
      </c>
      <c r="B20" s="139" t="str">
        <f>IF(E20="","",VLOOKUP('Opći dio'!$C$3,'Opći dio'!$L$6:$U$136,9,FALSE))</f>
        <v/>
      </c>
      <c r="C20" s="187" t="str">
        <f t="shared" si="3"/>
        <v/>
      </c>
      <c r="D20" s="138" t="str">
        <f t="shared" si="4"/>
        <v/>
      </c>
      <c r="E20" s="150"/>
      <c r="F20" s="191" t="str">
        <f t="shared" si="5"/>
        <v/>
      </c>
      <c r="G20" s="185"/>
      <c r="H20" s="185"/>
      <c r="I20" s="185"/>
      <c r="K20" s="141" t="str">
        <f t="shared" si="6"/>
        <v/>
      </c>
      <c r="L20" s="141" t="str">
        <f t="shared" si="7"/>
        <v/>
      </c>
      <c r="M20" s="141">
        <v>61</v>
      </c>
      <c r="N20" s="141" t="s">
        <v>122</v>
      </c>
      <c r="Q20" s="6">
        <v>632310573</v>
      </c>
      <c r="R20" s="6" t="s">
        <v>1548</v>
      </c>
      <c r="S20" s="6">
        <v>573</v>
      </c>
      <c r="T20" s="6" t="s">
        <v>1549</v>
      </c>
      <c r="U20">
        <v>632</v>
      </c>
    </row>
    <row r="21" spans="1:21">
      <c r="A21" s="139" t="str">
        <f>IF(E21="","",VLOOKUP('Opći dio'!$C$3,'Opći dio'!$L$6:$U$136,10,FALSE))</f>
        <v/>
      </c>
      <c r="B21" s="139" t="str">
        <f>IF(E21="","",VLOOKUP('Opći dio'!$C$3,'Opći dio'!$L$6:$U$136,9,FALSE))</f>
        <v/>
      </c>
      <c r="C21" s="187" t="str">
        <f t="shared" si="3"/>
        <v/>
      </c>
      <c r="D21" s="138" t="str">
        <f t="shared" si="4"/>
        <v/>
      </c>
      <c r="E21" s="150"/>
      <c r="F21" s="191" t="str">
        <f t="shared" si="5"/>
        <v/>
      </c>
      <c r="G21" s="185"/>
      <c r="H21" s="185"/>
      <c r="I21" s="185"/>
      <c r="K21" s="141" t="str">
        <f t="shared" si="6"/>
        <v/>
      </c>
      <c r="L21" s="141" t="str">
        <f t="shared" si="7"/>
        <v/>
      </c>
      <c r="M21" s="141">
        <v>71</v>
      </c>
      <c r="N21" s="141" t="s">
        <v>180</v>
      </c>
      <c r="Q21" s="6">
        <v>632310575</v>
      </c>
      <c r="R21" s="6" t="s">
        <v>1550</v>
      </c>
      <c r="S21" s="6">
        <v>575</v>
      </c>
      <c r="T21" s="6" t="s">
        <v>1551</v>
      </c>
      <c r="U21">
        <v>632</v>
      </c>
    </row>
    <row r="22" spans="1:21">
      <c r="A22" s="139" t="str">
        <f>IF(E22="","",VLOOKUP('Opći dio'!$C$3,'Opći dio'!$L$6:$U$136,10,FALSE))</f>
        <v/>
      </c>
      <c r="B22" s="139" t="str">
        <f>IF(E22="","",VLOOKUP('Opći dio'!$C$3,'Opći dio'!$L$6:$U$136,9,FALSE))</f>
        <v/>
      </c>
      <c r="C22" s="187" t="str">
        <f t="shared" si="3"/>
        <v/>
      </c>
      <c r="D22" s="138" t="str">
        <f t="shared" si="4"/>
        <v/>
      </c>
      <c r="E22" s="150"/>
      <c r="F22" s="191" t="str">
        <f t="shared" si="5"/>
        <v/>
      </c>
      <c r="G22" s="185"/>
      <c r="H22" s="185"/>
      <c r="I22" s="185"/>
      <c r="K22" s="141" t="str">
        <f t="shared" si="6"/>
        <v/>
      </c>
      <c r="L22" s="141" t="str">
        <f t="shared" si="7"/>
        <v/>
      </c>
      <c r="M22" s="141">
        <v>81</v>
      </c>
      <c r="N22" s="141" t="s">
        <v>63</v>
      </c>
      <c r="Q22" s="6">
        <v>632310576</v>
      </c>
      <c r="R22" s="6" t="s">
        <v>2127</v>
      </c>
      <c r="S22" s="6">
        <v>576</v>
      </c>
      <c r="T22" s="6" t="s">
        <v>2128</v>
      </c>
      <c r="U22">
        <v>632</v>
      </c>
    </row>
    <row r="23" spans="1:21">
      <c r="A23" s="139" t="str">
        <f>IF(E23="","",VLOOKUP('Opći dio'!$C$3,'Opći dio'!$L$6:$U$136,10,FALSE))</f>
        <v/>
      </c>
      <c r="B23" s="139" t="str">
        <f>IF(E23="","",VLOOKUP('Opći dio'!$C$3,'Opći dio'!$L$6:$U$136,9,FALSE))</f>
        <v/>
      </c>
      <c r="C23" s="187" t="str">
        <f t="shared" si="3"/>
        <v/>
      </c>
      <c r="D23" s="138" t="str">
        <f t="shared" si="4"/>
        <v/>
      </c>
      <c r="E23" s="150"/>
      <c r="F23" s="191" t="str">
        <f t="shared" si="5"/>
        <v/>
      </c>
      <c r="G23" s="185"/>
      <c r="H23" s="185"/>
      <c r="I23" s="185"/>
      <c r="K23" s="141" t="str">
        <f t="shared" si="6"/>
        <v/>
      </c>
      <c r="L23" s="141" t="str">
        <f t="shared" si="7"/>
        <v/>
      </c>
      <c r="M23">
        <v>83</v>
      </c>
      <c r="N23" t="s">
        <v>1540</v>
      </c>
      <c r="Q23" s="6">
        <v>632311700</v>
      </c>
      <c r="R23" s="6" t="s">
        <v>23</v>
      </c>
      <c r="S23" s="6">
        <v>51</v>
      </c>
      <c r="T23" s="6" t="s">
        <v>2091</v>
      </c>
      <c r="U23">
        <v>632</v>
      </c>
    </row>
    <row r="24" spans="1:21">
      <c r="A24" s="139" t="str">
        <f>IF(E24="","",VLOOKUP('Opći dio'!$C$3,'Opći dio'!$L$6:$U$136,10,FALSE))</f>
        <v/>
      </c>
      <c r="B24" s="139" t="str">
        <f>IF(E24="","",VLOOKUP('Opći dio'!$C$3,'Opći dio'!$L$6:$U$136,9,FALSE))</f>
        <v/>
      </c>
      <c r="C24" s="187" t="str">
        <f t="shared" si="3"/>
        <v/>
      </c>
      <c r="D24" s="138" t="str">
        <f t="shared" si="4"/>
        <v/>
      </c>
      <c r="E24" s="150"/>
      <c r="F24" s="191" t="str">
        <f t="shared" si="5"/>
        <v/>
      </c>
      <c r="G24" s="185"/>
      <c r="H24" s="185"/>
      <c r="I24" s="185"/>
      <c r="K24" s="141" t="str">
        <f t="shared" si="6"/>
        <v/>
      </c>
      <c r="L24" s="141" t="str">
        <f t="shared" si="7"/>
        <v/>
      </c>
      <c r="Q24" s="6">
        <v>632311800</v>
      </c>
      <c r="R24" s="6" t="s">
        <v>247</v>
      </c>
      <c r="S24" s="6">
        <v>51</v>
      </c>
      <c r="T24" s="6" t="s">
        <v>2091</v>
      </c>
      <c r="U24">
        <v>632</v>
      </c>
    </row>
    <row r="25" spans="1:21">
      <c r="A25" s="139" t="str">
        <f>IF(E25="","",VLOOKUP('Opći dio'!$C$3,'Opći dio'!$L$6:$U$136,10,FALSE))</f>
        <v/>
      </c>
      <c r="B25" s="139" t="str">
        <f>IF(E25="","",VLOOKUP('Opći dio'!$C$3,'Opći dio'!$L$6:$U$136,9,FALSE))</f>
        <v/>
      </c>
      <c r="C25" s="187" t="str">
        <f t="shared" si="3"/>
        <v/>
      </c>
      <c r="D25" s="138" t="str">
        <f t="shared" si="4"/>
        <v/>
      </c>
      <c r="E25" s="150"/>
      <c r="F25" s="191" t="str">
        <f t="shared" si="5"/>
        <v/>
      </c>
      <c r="G25" s="185"/>
      <c r="H25" s="185"/>
      <c r="I25" s="185"/>
      <c r="K25" s="141" t="str">
        <f t="shared" si="6"/>
        <v/>
      </c>
      <c r="L25" s="141" t="str">
        <f t="shared" si="7"/>
        <v/>
      </c>
      <c r="Q25" s="6">
        <v>632410552</v>
      </c>
      <c r="R25" s="6" t="s">
        <v>1552</v>
      </c>
      <c r="S25" s="6">
        <v>552</v>
      </c>
      <c r="T25" s="6" t="s">
        <v>1538</v>
      </c>
      <c r="U25">
        <v>632</v>
      </c>
    </row>
    <row r="26" spans="1:21">
      <c r="A26" s="139" t="str">
        <f>IF(E26="","",VLOOKUP('Opći dio'!$C$3,'Opći dio'!$L$6:$U$136,10,FALSE))</f>
        <v/>
      </c>
      <c r="B26" s="139" t="str">
        <f>IF(E26="","",VLOOKUP('Opći dio'!$C$3,'Opći dio'!$L$6:$U$136,9,FALSE))</f>
        <v/>
      </c>
      <c r="C26" s="187" t="str">
        <f t="shared" si="3"/>
        <v/>
      </c>
      <c r="D26" s="138" t="str">
        <f t="shared" si="4"/>
        <v/>
      </c>
      <c r="E26" s="150"/>
      <c r="F26" s="191" t="str">
        <f t="shared" si="5"/>
        <v/>
      </c>
      <c r="G26" s="185"/>
      <c r="H26" s="185"/>
      <c r="I26" s="185"/>
      <c r="K26" s="141" t="str">
        <f t="shared" si="6"/>
        <v/>
      </c>
      <c r="L26" s="141" t="str">
        <f t="shared" si="7"/>
        <v/>
      </c>
      <c r="Q26" s="6">
        <v>632410559</v>
      </c>
      <c r="R26" s="6" t="s">
        <v>1553</v>
      </c>
      <c r="S26" s="6">
        <v>559</v>
      </c>
      <c r="T26" s="6" t="s">
        <v>1539</v>
      </c>
      <c r="U26">
        <v>632</v>
      </c>
    </row>
    <row r="27" spans="1:21">
      <c r="A27" s="139" t="str">
        <f>IF(E27="","",VLOOKUP('Opći dio'!$C$3,'Opći dio'!$L$6:$U$136,10,FALSE))</f>
        <v/>
      </c>
      <c r="B27" s="139" t="str">
        <f>IF(E27="","",VLOOKUP('Opći dio'!$C$3,'Opći dio'!$L$6:$U$136,9,FALSE))</f>
        <v/>
      </c>
      <c r="C27" s="187" t="str">
        <f t="shared" si="3"/>
        <v/>
      </c>
      <c r="D27" s="138" t="str">
        <f t="shared" si="4"/>
        <v/>
      </c>
      <c r="E27" s="150"/>
      <c r="F27" s="191" t="str">
        <f t="shared" si="5"/>
        <v/>
      </c>
      <c r="G27" s="185"/>
      <c r="H27" s="185"/>
      <c r="I27" s="185"/>
      <c r="K27" s="141" t="str">
        <f t="shared" si="6"/>
        <v/>
      </c>
      <c r="L27" s="141" t="str">
        <f t="shared" si="7"/>
        <v/>
      </c>
      <c r="Q27" s="6">
        <v>632410573</v>
      </c>
      <c r="R27" s="6" t="s">
        <v>1554</v>
      </c>
      <c r="S27" s="6">
        <v>573</v>
      </c>
      <c r="T27" s="6" t="s">
        <v>1549</v>
      </c>
      <c r="U27">
        <v>632</v>
      </c>
    </row>
    <row r="28" spans="1:21">
      <c r="A28" s="139" t="str">
        <f>IF(E28="","",VLOOKUP('Opći dio'!$C$3,'Opći dio'!$L$6:$U$136,10,FALSE))</f>
        <v/>
      </c>
      <c r="B28" s="139" t="str">
        <f>IF(E28="","",VLOOKUP('Opći dio'!$C$3,'Opći dio'!$L$6:$U$136,9,FALSE))</f>
        <v/>
      </c>
      <c r="C28" s="187" t="str">
        <f t="shared" si="3"/>
        <v/>
      </c>
      <c r="D28" s="138" t="str">
        <f t="shared" si="4"/>
        <v/>
      </c>
      <c r="E28" s="150"/>
      <c r="F28" s="191" t="str">
        <f t="shared" si="5"/>
        <v/>
      </c>
      <c r="G28" s="185"/>
      <c r="H28" s="185"/>
      <c r="I28" s="185"/>
      <c r="K28" s="141" t="str">
        <f t="shared" si="6"/>
        <v/>
      </c>
      <c r="L28" s="141" t="str">
        <f t="shared" si="7"/>
        <v/>
      </c>
      <c r="Q28" s="6">
        <v>632410575</v>
      </c>
      <c r="R28" s="6" t="s">
        <v>1555</v>
      </c>
      <c r="S28" s="6">
        <v>575</v>
      </c>
      <c r="T28" s="6" t="s">
        <v>1551</v>
      </c>
      <c r="U28">
        <v>632</v>
      </c>
    </row>
    <row r="29" spans="1:21">
      <c r="A29" s="139" t="str">
        <f>IF(E29="","",VLOOKUP('Opći dio'!$C$3,'Opći dio'!$L$6:$U$136,10,FALSE))</f>
        <v/>
      </c>
      <c r="B29" s="139" t="str">
        <f>IF(E29="","",VLOOKUP('Opći dio'!$C$3,'Opći dio'!$L$6:$U$136,9,FALSE))</f>
        <v/>
      </c>
      <c r="C29" s="187" t="str">
        <f t="shared" si="3"/>
        <v/>
      </c>
      <c r="D29" s="138" t="str">
        <f t="shared" si="4"/>
        <v/>
      </c>
      <c r="E29" s="150"/>
      <c r="F29" s="191" t="str">
        <f t="shared" si="5"/>
        <v/>
      </c>
      <c r="G29" s="185"/>
      <c r="H29" s="185"/>
      <c r="I29" s="185"/>
      <c r="K29" s="141" t="str">
        <f t="shared" si="6"/>
        <v/>
      </c>
      <c r="L29" s="141" t="str">
        <f t="shared" si="7"/>
        <v/>
      </c>
      <c r="Q29" s="6">
        <v>632410576</v>
      </c>
      <c r="R29" s="6" t="s">
        <v>2129</v>
      </c>
      <c r="S29" s="6">
        <v>576</v>
      </c>
      <c r="T29" s="6" t="s">
        <v>2128</v>
      </c>
      <c r="U29">
        <v>632</v>
      </c>
    </row>
    <row r="30" spans="1:21">
      <c r="A30" s="139" t="str">
        <f>IF(E30="","",VLOOKUP('Opći dio'!$C$3,'Opći dio'!$L$6:$U$136,10,FALSE))</f>
        <v/>
      </c>
      <c r="B30" s="139" t="str">
        <f>IF(E30="","",VLOOKUP('Opći dio'!$C$3,'Opći dio'!$L$6:$U$136,9,FALSE))</f>
        <v/>
      </c>
      <c r="C30" s="187" t="str">
        <f t="shared" si="3"/>
        <v/>
      </c>
      <c r="D30" s="138" t="str">
        <f t="shared" si="4"/>
        <v/>
      </c>
      <c r="E30" s="150"/>
      <c r="F30" s="191" t="str">
        <f t="shared" si="5"/>
        <v/>
      </c>
      <c r="G30" s="185"/>
      <c r="H30" s="185"/>
      <c r="I30" s="185"/>
      <c r="K30" s="141" t="str">
        <f t="shared" si="6"/>
        <v/>
      </c>
      <c r="L30" s="141" t="str">
        <f t="shared" si="7"/>
        <v/>
      </c>
      <c r="Q30" s="6">
        <v>632411700</v>
      </c>
      <c r="R30" s="6" t="s">
        <v>24</v>
      </c>
      <c r="S30" s="6">
        <v>51</v>
      </c>
      <c r="T30" s="6" t="s">
        <v>2091</v>
      </c>
      <c r="U30">
        <v>632</v>
      </c>
    </row>
    <row r="31" spans="1:21">
      <c r="A31" s="139" t="str">
        <f>IF(E31="","",VLOOKUP('Opći dio'!$C$3,'Opći dio'!$L$6:$U$136,10,FALSE))</f>
        <v/>
      </c>
      <c r="B31" s="139" t="str">
        <f>IF(E31="","",VLOOKUP('Opći dio'!$C$3,'Opći dio'!$L$6:$U$136,9,FALSE))</f>
        <v/>
      </c>
      <c r="C31" s="187" t="str">
        <f t="shared" si="3"/>
        <v/>
      </c>
      <c r="D31" s="138" t="str">
        <f t="shared" si="4"/>
        <v/>
      </c>
      <c r="E31" s="150"/>
      <c r="F31" s="191" t="str">
        <f t="shared" si="5"/>
        <v/>
      </c>
      <c r="G31" s="185"/>
      <c r="H31" s="185"/>
      <c r="I31" s="185"/>
      <c r="K31" s="141" t="str">
        <f t="shared" si="6"/>
        <v/>
      </c>
      <c r="L31" s="141" t="str">
        <f t="shared" si="7"/>
        <v/>
      </c>
      <c r="Q31" s="6">
        <v>6341</v>
      </c>
      <c r="R31" s="6" t="s">
        <v>2131</v>
      </c>
      <c r="S31" s="6">
        <v>52</v>
      </c>
      <c r="T31" s="6" t="s">
        <v>2088</v>
      </c>
      <c r="U31">
        <v>634</v>
      </c>
    </row>
    <row r="32" spans="1:21">
      <c r="A32" s="139" t="str">
        <f>IF(E32="","",VLOOKUP('Opći dio'!$C$3,'Opći dio'!$L$6:$U$136,10,FALSE))</f>
        <v/>
      </c>
      <c r="B32" s="139" t="str">
        <f>IF(E32="","",VLOOKUP('Opći dio'!$C$3,'Opći dio'!$L$6:$U$136,9,FALSE))</f>
        <v/>
      </c>
      <c r="C32" s="187" t="str">
        <f t="shared" si="3"/>
        <v/>
      </c>
      <c r="D32" s="138" t="str">
        <f t="shared" si="4"/>
        <v/>
      </c>
      <c r="E32" s="150"/>
      <c r="F32" s="191" t="str">
        <f t="shared" si="5"/>
        <v/>
      </c>
      <c r="G32" s="185"/>
      <c r="H32" s="185"/>
      <c r="I32" s="185"/>
      <c r="K32" s="141" t="str">
        <f t="shared" si="6"/>
        <v/>
      </c>
      <c r="L32" s="141" t="str">
        <f t="shared" si="7"/>
        <v/>
      </c>
      <c r="Q32" s="6">
        <v>6342</v>
      </c>
      <c r="R32" s="6" t="s">
        <v>2132</v>
      </c>
      <c r="S32" s="6">
        <v>52</v>
      </c>
      <c r="T32" s="6" t="s">
        <v>2088</v>
      </c>
      <c r="U32">
        <v>634</v>
      </c>
    </row>
    <row r="33" spans="1:21">
      <c r="A33" s="139" t="str">
        <f>IF(E33="","",VLOOKUP('Opći dio'!$C$3,'Opći dio'!$L$6:$U$136,10,FALSE))</f>
        <v/>
      </c>
      <c r="B33" s="139" t="str">
        <f>IF(E33="","",VLOOKUP('Opći dio'!$C$3,'Opći dio'!$L$6:$U$136,9,FALSE))</f>
        <v/>
      </c>
      <c r="C33" s="187" t="str">
        <f t="shared" si="3"/>
        <v/>
      </c>
      <c r="D33" s="138" t="str">
        <f t="shared" si="4"/>
        <v/>
      </c>
      <c r="E33" s="150"/>
      <c r="F33" s="191" t="str">
        <f t="shared" si="5"/>
        <v/>
      </c>
      <c r="G33" s="185"/>
      <c r="H33" s="185"/>
      <c r="I33" s="185"/>
      <c r="K33" s="141" t="str">
        <f t="shared" si="6"/>
        <v/>
      </c>
      <c r="L33" s="141" t="str">
        <f t="shared" si="7"/>
        <v/>
      </c>
      <c r="Q33" s="6">
        <v>636130000</v>
      </c>
      <c r="R33" s="6" t="s">
        <v>2092</v>
      </c>
      <c r="S33" s="6">
        <v>52</v>
      </c>
      <c r="T33" s="6" t="s">
        <v>2088</v>
      </c>
      <c r="U33">
        <v>636</v>
      </c>
    </row>
    <row r="34" spans="1:21">
      <c r="A34" s="139" t="str">
        <f>IF(E34="","",VLOOKUP('Opći dio'!$C$3,'Opći dio'!$L$6:$U$136,10,FALSE))</f>
        <v/>
      </c>
      <c r="B34" s="139" t="str">
        <f>IF(E34="","",VLOOKUP('Opći dio'!$C$3,'Opći dio'!$L$6:$U$136,9,FALSE))</f>
        <v/>
      </c>
      <c r="C34" s="187" t="str">
        <f t="shared" si="3"/>
        <v/>
      </c>
      <c r="D34" s="138" t="str">
        <f t="shared" si="4"/>
        <v/>
      </c>
      <c r="E34" s="150"/>
      <c r="F34" s="191" t="str">
        <f t="shared" si="5"/>
        <v/>
      </c>
      <c r="G34" s="185"/>
      <c r="H34" s="185"/>
      <c r="I34" s="185"/>
      <c r="K34" s="141" t="str">
        <f t="shared" si="6"/>
        <v/>
      </c>
      <c r="L34" s="141" t="str">
        <f t="shared" si="7"/>
        <v/>
      </c>
      <c r="Q34" s="6">
        <v>636230000</v>
      </c>
      <c r="R34" s="6" t="s">
        <v>2093</v>
      </c>
      <c r="S34" s="6">
        <v>52</v>
      </c>
      <c r="T34" s="6" t="s">
        <v>2088</v>
      </c>
      <c r="U34">
        <v>636</v>
      </c>
    </row>
    <row r="35" spans="1:21">
      <c r="A35" s="139" t="str">
        <f>IF(E35="","",VLOOKUP('Opći dio'!$C$3,'Opći dio'!$L$6:$U$136,10,FALSE))</f>
        <v/>
      </c>
      <c r="B35" s="139" t="str">
        <f>IF(E35="","",VLOOKUP('Opći dio'!$C$3,'Opći dio'!$L$6:$U$136,9,FALSE))</f>
        <v/>
      </c>
      <c r="C35" s="187" t="str">
        <f t="shared" si="3"/>
        <v/>
      </c>
      <c r="D35" s="138" t="str">
        <f t="shared" si="4"/>
        <v/>
      </c>
      <c r="E35" s="150"/>
      <c r="F35" s="191" t="str">
        <f t="shared" si="5"/>
        <v/>
      </c>
      <c r="G35" s="185"/>
      <c r="H35" s="185"/>
      <c r="I35" s="185"/>
      <c r="K35" s="141" t="str">
        <f t="shared" si="6"/>
        <v/>
      </c>
      <c r="L35" s="141" t="str">
        <f t="shared" si="7"/>
        <v/>
      </c>
      <c r="Q35" s="6">
        <v>638120000</v>
      </c>
      <c r="R35" s="6" t="s">
        <v>2094</v>
      </c>
      <c r="S35" s="6">
        <v>52</v>
      </c>
      <c r="T35" s="6" t="s">
        <v>2088</v>
      </c>
      <c r="U35">
        <v>638</v>
      </c>
    </row>
    <row r="36" spans="1:21">
      <c r="A36" s="139" t="str">
        <f>IF(E36="","",VLOOKUP('Opći dio'!$C$3,'Opći dio'!$L$6:$U$136,10,FALSE))</f>
        <v/>
      </c>
      <c r="B36" s="139" t="str">
        <f>IF(E36="","",VLOOKUP('Opći dio'!$C$3,'Opći dio'!$L$6:$U$136,9,FALSE))</f>
        <v/>
      </c>
      <c r="C36" s="187" t="str">
        <f t="shared" si="3"/>
        <v/>
      </c>
      <c r="D36" s="138" t="str">
        <f t="shared" si="4"/>
        <v/>
      </c>
      <c r="E36" s="150"/>
      <c r="F36" s="191" t="str">
        <f t="shared" si="5"/>
        <v/>
      </c>
      <c r="G36" s="185"/>
      <c r="H36" s="185"/>
      <c r="I36" s="185"/>
      <c r="K36" s="141" t="str">
        <f t="shared" si="6"/>
        <v/>
      </c>
      <c r="L36" s="141" t="str">
        <f t="shared" si="7"/>
        <v/>
      </c>
      <c r="Q36" s="6">
        <v>638130000</v>
      </c>
      <c r="R36" s="6" t="s">
        <v>2095</v>
      </c>
      <c r="S36" s="6">
        <v>52</v>
      </c>
      <c r="T36" s="6" t="s">
        <v>2088</v>
      </c>
      <c r="U36">
        <v>638</v>
      </c>
    </row>
    <row r="37" spans="1:21">
      <c r="A37" s="139" t="str">
        <f>IF(E37="","",VLOOKUP('Opći dio'!$C$3,'Opći dio'!$L$6:$U$136,10,FALSE))</f>
        <v/>
      </c>
      <c r="B37" s="139" t="str">
        <f>IF(E37="","",VLOOKUP('Opći dio'!$C$3,'Opći dio'!$L$6:$U$136,9,FALSE))</f>
        <v/>
      </c>
      <c r="C37" s="187" t="str">
        <f t="shared" si="3"/>
        <v/>
      </c>
      <c r="D37" s="138" t="str">
        <f t="shared" si="4"/>
        <v/>
      </c>
      <c r="E37" s="150"/>
      <c r="F37" s="191" t="str">
        <f t="shared" si="5"/>
        <v/>
      </c>
      <c r="G37" s="185"/>
      <c r="H37" s="185"/>
      <c r="I37" s="185"/>
      <c r="K37" s="141" t="str">
        <f t="shared" si="6"/>
        <v/>
      </c>
      <c r="L37" s="141" t="str">
        <f t="shared" si="7"/>
        <v/>
      </c>
      <c r="Q37" s="6">
        <v>638140000</v>
      </c>
      <c r="R37" s="6" t="s">
        <v>2096</v>
      </c>
      <c r="S37" s="6">
        <v>52</v>
      </c>
      <c r="T37" s="6" t="s">
        <v>2088</v>
      </c>
      <c r="U37">
        <v>638</v>
      </c>
    </row>
    <row r="38" spans="1:21">
      <c r="A38" s="139" t="str">
        <f>IF(E38="","",VLOOKUP('Opći dio'!$C$3,'Opći dio'!$L$6:$U$136,10,FALSE))</f>
        <v/>
      </c>
      <c r="B38" s="139" t="str">
        <f>IF(E38="","",VLOOKUP('Opći dio'!$C$3,'Opći dio'!$L$6:$U$136,9,FALSE))</f>
        <v/>
      </c>
      <c r="C38" s="187" t="str">
        <f t="shared" si="3"/>
        <v/>
      </c>
      <c r="D38" s="138" t="str">
        <f t="shared" si="4"/>
        <v/>
      </c>
      <c r="E38" s="150"/>
      <c r="F38" s="191" t="str">
        <f t="shared" si="5"/>
        <v/>
      </c>
      <c r="G38" s="185"/>
      <c r="H38" s="185"/>
      <c r="I38" s="185"/>
      <c r="K38" s="141" t="str">
        <f t="shared" si="6"/>
        <v/>
      </c>
      <c r="L38" s="141" t="str">
        <f t="shared" si="7"/>
        <v/>
      </c>
      <c r="Q38" s="6">
        <v>638220000</v>
      </c>
      <c r="R38" s="6" t="s">
        <v>2097</v>
      </c>
      <c r="S38" s="6">
        <v>52</v>
      </c>
      <c r="T38" s="6" t="s">
        <v>2088</v>
      </c>
      <c r="U38">
        <v>638</v>
      </c>
    </row>
    <row r="39" spans="1:21">
      <c r="A39" s="139" t="str">
        <f>IF(E39="","",VLOOKUP('Opći dio'!$C$3,'Opći dio'!$L$6:$U$136,10,FALSE))</f>
        <v/>
      </c>
      <c r="B39" s="139" t="str">
        <f>IF(E39="","",VLOOKUP('Opći dio'!$C$3,'Opći dio'!$L$6:$U$136,9,FALSE))</f>
        <v/>
      </c>
      <c r="C39" s="187" t="str">
        <f t="shared" si="3"/>
        <v/>
      </c>
      <c r="D39" s="138" t="str">
        <f t="shared" si="4"/>
        <v/>
      </c>
      <c r="E39" s="150"/>
      <c r="F39" s="191" t="str">
        <f t="shared" si="5"/>
        <v/>
      </c>
      <c r="G39" s="185"/>
      <c r="H39" s="185"/>
      <c r="I39" s="185"/>
      <c r="K39" s="141" t="str">
        <f t="shared" si="6"/>
        <v/>
      </c>
      <c r="L39" s="141" t="str">
        <f t="shared" si="7"/>
        <v/>
      </c>
      <c r="Q39" s="6">
        <v>638230000</v>
      </c>
      <c r="R39" s="6" t="s">
        <v>2098</v>
      </c>
      <c r="S39" s="6">
        <v>52</v>
      </c>
      <c r="T39" s="6" t="s">
        <v>2088</v>
      </c>
      <c r="U39">
        <v>638</v>
      </c>
    </row>
    <row r="40" spans="1:21">
      <c r="A40" s="139" t="str">
        <f>IF(E40="","",VLOOKUP('Opći dio'!$C$3,'Opći dio'!$L$6:$U$136,10,FALSE))</f>
        <v/>
      </c>
      <c r="B40" s="139" t="str">
        <f>IF(E40="","",VLOOKUP('Opći dio'!$C$3,'Opći dio'!$L$6:$U$136,9,FALSE))</f>
        <v/>
      </c>
      <c r="C40" s="187" t="str">
        <f t="shared" si="3"/>
        <v/>
      </c>
      <c r="D40" s="138" t="str">
        <f t="shared" si="4"/>
        <v/>
      </c>
      <c r="E40" s="150"/>
      <c r="F40" s="191" t="str">
        <f t="shared" si="5"/>
        <v/>
      </c>
      <c r="G40" s="185"/>
      <c r="H40" s="185"/>
      <c r="I40" s="185"/>
      <c r="K40" s="141" t="str">
        <f t="shared" si="6"/>
        <v/>
      </c>
      <c r="L40" s="141" t="str">
        <f t="shared" si="7"/>
        <v/>
      </c>
      <c r="Q40" s="6">
        <v>638240000</v>
      </c>
      <c r="R40" s="6" t="s">
        <v>2099</v>
      </c>
      <c r="S40" s="6">
        <v>52</v>
      </c>
      <c r="T40" s="6" t="s">
        <v>2088</v>
      </c>
      <c r="U40">
        <v>638</v>
      </c>
    </row>
    <row r="41" spans="1:21">
      <c r="A41" s="139" t="str">
        <f>IF(E41="","",VLOOKUP('Opći dio'!$C$3,'Opći dio'!$L$6:$U$136,10,FALSE))</f>
        <v/>
      </c>
      <c r="B41" s="139" t="str">
        <f>IF(E41="","",VLOOKUP('Opći dio'!$C$3,'Opći dio'!$L$6:$U$136,9,FALSE))</f>
        <v/>
      </c>
      <c r="C41" s="187" t="str">
        <f t="shared" si="3"/>
        <v/>
      </c>
      <c r="D41" s="138" t="str">
        <f t="shared" si="4"/>
        <v/>
      </c>
      <c r="E41" s="150"/>
      <c r="F41" s="191" t="str">
        <f t="shared" si="5"/>
        <v/>
      </c>
      <c r="G41" s="185"/>
      <c r="H41" s="185"/>
      <c r="I41" s="185"/>
      <c r="K41" s="141" t="str">
        <f t="shared" si="6"/>
        <v/>
      </c>
      <c r="L41" s="141" t="str">
        <f t="shared" si="7"/>
        <v/>
      </c>
      <c r="Q41" s="6">
        <v>639110000</v>
      </c>
      <c r="R41" s="6" t="s">
        <v>31</v>
      </c>
      <c r="S41" s="6">
        <v>52</v>
      </c>
      <c r="T41" s="6" t="s">
        <v>2088</v>
      </c>
      <c r="U41">
        <v>639</v>
      </c>
    </row>
    <row r="42" spans="1:21">
      <c r="A42" s="139" t="str">
        <f>IF(E42="","",VLOOKUP('Opći dio'!$C$3,'Opći dio'!$L$6:$U$136,10,FALSE))</f>
        <v/>
      </c>
      <c r="B42" s="139" t="str">
        <f>IF(E42="","",VLOOKUP('Opći dio'!$C$3,'Opći dio'!$L$6:$U$136,9,FALSE))</f>
        <v/>
      </c>
      <c r="C42" s="187" t="str">
        <f t="shared" si="3"/>
        <v/>
      </c>
      <c r="D42" s="138" t="str">
        <f t="shared" si="4"/>
        <v/>
      </c>
      <c r="E42" s="150"/>
      <c r="F42" s="191" t="str">
        <f t="shared" si="5"/>
        <v/>
      </c>
      <c r="G42" s="185"/>
      <c r="H42" s="185"/>
      <c r="I42" s="185"/>
      <c r="K42" s="141" t="str">
        <f>LEFT(E42,3)</f>
        <v/>
      </c>
      <c r="L42" s="141" t="str">
        <f>LEFT(E42,2)</f>
        <v/>
      </c>
      <c r="Q42" s="6">
        <v>639210000</v>
      </c>
      <c r="R42" s="6" t="s">
        <v>32</v>
      </c>
      <c r="S42" s="6">
        <v>52</v>
      </c>
      <c r="T42" s="6" t="s">
        <v>2088</v>
      </c>
      <c r="U42">
        <v>639</v>
      </c>
    </row>
    <row r="43" spans="1:21">
      <c r="A43" s="139" t="str">
        <f>IF(E43="","",VLOOKUP('Opći dio'!$C$3,'Opći dio'!$L$6:$U$136,10,FALSE))</f>
        <v/>
      </c>
      <c r="B43" s="139" t="str">
        <f>IF(E43="","",VLOOKUP('Opći dio'!$C$3,'Opći dio'!$L$6:$U$136,9,FALSE))</f>
        <v/>
      </c>
      <c r="C43" s="187" t="str">
        <f t="shared" si="3"/>
        <v/>
      </c>
      <c r="D43" s="138" t="str">
        <f t="shared" si="4"/>
        <v/>
      </c>
      <c r="E43" s="150"/>
      <c r="F43" s="191" t="str">
        <f t="shared" si="5"/>
        <v/>
      </c>
      <c r="G43" s="185"/>
      <c r="H43" s="185"/>
      <c r="I43" s="185"/>
      <c r="K43" s="141" t="str">
        <f t="shared" si="6"/>
        <v/>
      </c>
      <c r="L43" s="141" t="str">
        <f t="shared" si="7"/>
        <v/>
      </c>
      <c r="Q43" s="6">
        <v>639310000</v>
      </c>
      <c r="R43" s="6" t="s">
        <v>33</v>
      </c>
      <c r="S43" s="6">
        <v>52</v>
      </c>
      <c r="T43" s="6" t="s">
        <v>2088</v>
      </c>
      <c r="U43">
        <v>639</v>
      </c>
    </row>
    <row r="44" spans="1:21">
      <c r="A44" s="139" t="str">
        <f>IF(E44="","",VLOOKUP('Opći dio'!$C$3,'Opći dio'!$L$6:$U$136,10,FALSE))</f>
        <v/>
      </c>
      <c r="B44" s="139" t="str">
        <f>IF(E44="","",VLOOKUP('Opći dio'!$C$3,'Opći dio'!$L$6:$U$136,9,FALSE))</f>
        <v/>
      </c>
      <c r="C44" s="187" t="str">
        <f t="shared" si="3"/>
        <v/>
      </c>
      <c r="D44" s="138" t="str">
        <f t="shared" si="4"/>
        <v/>
      </c>
      <c r="E44" s="150"/>
      <c r="F44" s="191" t="str">
        <f t="shared" si="5"/>
        <v/>
      </c>
      <c r="G44" s="185"/>
      <c r="H44" s="185"/>
      <c r="I44" s="185"/>
      <c r="K44" s="141" t="str">
        <f t="shared" si="6"/>
        <v/>
      </c>
      <c r="L44" s="141" t="str">
        <f t="shared" si="7"/>
        <v/>
      </c>
      <c r="Q44" s="6">
        <v>639410000</v>
      </c>
      <c r="R44" s="6" t="s">
        <v>34</v>
      </c>
      <c r="S44" s="6">
        <v>52</v>
      </c>
      <c r="T44" s="6" t="s">
        <v>2088</v>
      </c>
      <c r="U44">
        <v>639</v>
      </c>
    </row>
    <row r="45" spans="1:21">
      <c r="A45" s="139" t="str">
        <f>IF(E45="","",VLOOKUP('Opći dio'!$C$3,'Opći dio'!$L$6:$U$136,10,FALSE))</f>
        <v/>
      </c>
      <c r="B45" s="139" t="str">
        <f>IF(E45="","",VLOOKUP('Opći dio'!$C$3,'Opći dio'!$L$6:$U$136,9,FALSE))</f>
        <v/>
      </c>
      <c r="C45" s="187" t="str">
        <f t="shared" si="3"/>
        <v/>
      </c>
      <c r="D45" s="138" t="str">
        <f t="shared" si="4"/>
        <v/>
      </c>
      <c r="E45" s="150"/>
      <c r="F45" s="191" t="str">
        <f t="shared" si="5"/>
        <v/>
      </c>
      <c r="G45" s="185"/>
      <c r="H45" s="185"/>
      <c r="I45" s="185"/>
      <c r="K45" s="141" t="str">
        <f t="shared" si="6"/>
        <v/>
      </c>
      <c r="L45" s="141" t="str">
        <f t="shared" si="7"/>
        <v/>
      </c>
      <c r="Q45" s="6">
        <v>641290031</v>
      </c>
      <c r="R45" s="6" t="s">
        <v>236</v>
      </c>
      <c r="S45" s="6">
        <v>31</v>
      </c>
      <c r="T45" s="6" t="s">
        <v>98</v>
      </c>
      <c r="U45">
        <v>641</v>
      </c>
    </row>
    <row r="46" spans="1:21">
      <c r="A46" s="139" t="str">
        <f>IF(E46="","",VLOOKUP('Opći dio'!$C$3,'Opći dio'!$L$6:$U$136,10,FALSE))</f>
        <v/>
      </c>
      <c r="B46" s="139" t="str">
        <f>IF(E46="","",VLOOKUP('Opći dio'!$C$3,'Opći dio'!$L$6:$U$136,9,FALSE))</f>
        <v/>
      </c>
      <c r="C46" s="187" t="str">
        <f t="shared" si="3"/>
        <v/>
      </c>
      <c r="D46" s="138" t="str">
        <f t="shared" si="4"/>
        <v/>
      </c>
      <c r="E46" s="150"/>
      <c r="F46" s="191" t="str">
        <f t="shared" si="5"/>
        <v/>
      </c>
      <c r="G46" s="185"/>
      <c r="H46" s="185"/>
      <c r="I46" s="185"/>
      <c r="K46" s="141" t="str">
        <f t="shared" si="6"/>
        <v/>
      </c>
      <c r="L46" s="141" t="str">
        <f t="shared" si="7"/>
        <v/>
      </c>
      <c r="Q46" s="6">
        <v>641310031</v>
      </c>
      <c r="R46" s="6" t="s">
        <v>237</v>
      </c>
      <c r="S46" s="6">
        <v>31</v>
      </c>
      <c r="T46" s="6" t="s">
        <v>98</v>
      </c>
      <c r="U46">
        <v>641</v>
      </c>
    </row>
    <row r="47" spans="1:21">
      <c r="A47" s="139" t="str">
        <f>IF(E47="","",VLOOKUP('Opći dio'!$C$3,'Opći dio'!$L$6:$U$136,10,FALSE))</f>
        <v/>
      </c>
      <c r="B47" s="139" t="str">
        <f>IF(E47="","",VLOOKUP('Opći dio'!$C$3,'Opći dio'!$L$6:$U$136,9,FALSE))</f>
        <v/>
      </c>
      <c r="C47" s="187" t="str">
        <f t="shared" si="3"/>
        <v/>
      </c>
      <c r="D47" s="138" t="str">
        <f t="shared" si="4"/>
        <v/>
      </c>
      <c r="E47" s="150"/>
      <c r="F47" s="191" t="str">
        <f t="shared" si="5"/>
        <v/>
      </c>
      <c r="G47" s="185"/>
      <c r="H47" s="185"/>
      <c r="I47" s="185"/>
      <c r="K47" s="141" t="str">
        <f t="shared" si="6"/>
        <v/>
      </c>
      <c r="L47" s="141" t="str">
        <f t="shared" si="7"/>
        <v/>
      </c>
      <c r="Q47" s="6">
        <v>641320031</v>
      </c>
      <c r="R47" s="6" t="s">
        <v>238</v>
      </c>
      <c r="S47" s="6">
        <v>31</v>
      </c>
      <c r="T47" s="6" t="s">
        <v>98</v>
      </c>
      <c r="U47">
        <v>641</v>
      </c>
    </row>
    <row r="48" spans="1:21">
      <c r="A48" s="139" t="str">
        <f>IF(E48="","",VLOOKUP('Opći dio'!$C$3,'Opći dio'!$L$6:$U$136,10,FALSE))</f>
        <v/>
      </c>
      <c r="B48" s="139" t="str">
        <f>IF(E48="","",VLOOKUP('Opći dio'!$C$3,'Opći dio'!$L$6:$U$136,9,FALSE))</f>
        <v/>
      </c>
      <c r="C48" s="187" t="str">
        <f t="shared" si="3"/>
        <v/>
      </c>
      <c r="D48" s="138" t="str">
        <f t="shared" si="4"/>
        <v/>
      </c>
      <c r="E48" s="150"/>
      <c r="F48" s="191" t="str">
        <f t="shared" si="5"/>
        <v/>
      </c>
      <c r="G48" s="185"/>
      <c r="H48" s="185"/>
      <c r="I48" s="185"/>
      <c r="K48" s="141" t="str">
        <f t="shared" si="6"/>
        <v/>
      </c>
      <c r="L48" s="141" t="str">
        <f t="shared" si="7"/>
        <v/>
      </c>
      <c r="Q48" s="6">
        <v>641320043</v>
      </c>
      <c r="R48" s="6" t="s">
        <v>2100</v>
      </c>
      <c r="S48" s="6">
        <v>43</v>
      </c>
      <c r="T48" s="6" t="s">
        <v>103</v>
      </c>
      <c r="U48">
        <v>641</v>
      </c>
    </row>
    <row r="49" spans="1:21">
      <c r="A49" s="139" t="str">
        <f>IF(E49="","",VLOOKUP('Opći dio'!$C$3,'Opći dio'!$L$6:$U$136,10,FALSE))</f>
        <v/>
      </c>
      <c r="B49" s="139" t="str">
        <f>IF(E49="","",VLOOKUP('Opći dio'!$C$3,'Opći dio'!$L$6:$U$136,9,FALSE))</f>
        <v/>
      </c>
      <c r="C49" s="187" t="str">
        <f t="shared" si="3"/>
        <v/>
      </c>
      <c r="D49" s="138" t="str">
        <f t="shared" si="4"/>
        <v/>
      </c>
      <c r="E49" s="150"/>
      <c r="F49" s="191" t="str">
        <f t="shared" si="5"/>
        <v/>
      </c>
      <c r="G49" s="185"/>
      <c r="H49" s="185"/>
      <c r="I49" s="185"/>
      <c r="K49" s="141" t="str">
        <f t="shared" si="6"/>
        <v/>
      </c>
      <c r="L49" s="141" t="str">
        <f t="shared" si="7"/>
        <v/>
      </c>
      <c r="Q49" s="6">
        <v>641510031</v>
      </c>
      <c r="R49" s="6" t="s">
        <v>2101</v>
      </c>
      <c r="S49" s="6">
        <v>31</v>
      </c>
      <c r="T49" s="6" t="s">
        <v>98</v>
      </c>
      <c r="U49">
        <v>641</v>
      </c>
    </row>
    <row r="50" spans="1:21">
      <c r="A50" s="139" t="str">
        <f>IF(E50="","",VLOOKUP('Opći dio'!$C$3,'Opći dio'!$L$6:$U$136,10,FALSE))</f>
        <v/>
      </c>
      <c r="B50" s="139" t="str">
        <f>IF(E50="","",VLOOKUP('Opći dio'!$C$3,'Opći dio'!$L$6:$U$136,9,FALSE))</f>
        <v/>
      </c>
      <c r="C50" s="187" t="str">
        <f t="shared" si="3"/>
        <v/>
      </c>
      <c r="D50" s="138" t="str">
        <f t="shared" si="4"/>
        <v/>
      </c>
      <c r="E50" s="150"/>
      <c r="F50" s="191" t="str">
        <f t="shared" si="5"/>
        <v/>
      </c>
      <c r="G50" s="185"/>
      <c r="H50" s="185"/>
      <c r="I50" s="185"/>
      <c r="K50" s="141" t="str">
        <f t="shared" si="6"/>
        <v/>
      </c>
      <c r="L50" s="141" t="str">
        <f t="shared" si="7"/>
        <v/>
      </c>
      <c r="Q50" s="6">
        <v>641510043</v>
      </c>
      <c r="R50" s="6" t="s">
        <v>2102</v>
      </c>
      <c r="S50" s="6">
        <v>43</v>
      </c>
      <c r="T50" s="6" t="s">
        <v>103</v>
      </c>
      <c r="U50">
        <v>641</v>
      </c>
    </row>
    <row r="51" spans="1:21">
      <c r="A51" s="139" t="str">
        <f>IF(E51="","",VLOOKUP('Opći dio'!$C$3,'Opći dio'!$L$6:$U$136,10,FALSE))</f>
        <v/>
      </c>
      <c r="B51" s="139" t="str">
        <f>IF(E51="","",VLOOKUP('Opći dio'!$C$3,'Opći dio'!$L$6:$U$136,9,FALSE))</f>
        <v/>
      </c>
      <c r="C51" s="187" t="str">
        <f t="shared" si="3"/>
        <v/>
      </c>
      <c r="D51" s="138" t="str">
        <f t="shared" si="4"/>
        <v/>
      </c>
      <c r="E51" s="150"/>
      <c r="F51" s="191" t="str">
        <f t="shared" si="5"/>
        <v/>
      </c>
      <c r="G51" s="185"/>
      <c r="H51" s="185"/>
      <c r="I51" s="185"/>
      <c r="K51" s="141" t="str">
        <f t="shared" si="6"/>
        <v/>
      </c>
      <c r="L51" s="141" t="str">
        <f t="shared" si="7"/>
        <v/>
      </c>
      <c r="Q51" s="6">
        <v>641630031</v>
      </c>
      <c r="R51" s="6" t="s">
        <v>239</v>
      </c>
      <c r="S51" s="6">
        <v>31</v>
      </c>
      <c r="T51" s="6" t="s">
        <v>98</v>
      </c>
      <c r="U51">
        <v>641</v>
      </c>
    </row>
    <row r="52" spans="1:21">
      <c r="A52" s="139" t="str">
        <f>IF(E52="","",VLOOKUP('Opći dio'!$C$3,'Opći dio'!$L$6:$U$136,10,FALSE))</f>
        <v/>
      </c>
      <c r="B52" s="139" t="str">
        <f>IF(E52="","",VLOOKUP('Opći dio'!$C$3,'Opći dio'!$L$6:$U$136,9,FALSE))</f>
        <v/>
      </c>
      <c r="C52" s="187" t="str">
        <f t="shared" si="3"/>
        <v/>
      </c>
      <c r="D52" s="138" t="str">
        <f t="shared" si="4"/>
        <v/>
      </c>
      <c r="E52" s="150"/>
      <c r="F52" s="191" t="str">
        <f t="shared" si="5"/>
        <v/>
      </c>
      <c r="G52" s="185"/>
      <c r="H52" s="185"/>
      <c r="I52" s="185"/>
      <c r="K52" s="141" t="str">
        <f t="shared" si="6"/>
        <v/>
      </c>
      <c r="L52" s="141" t="str">
        <f t="shared" si="7"/>
        <v/>
      </c>
      <c r="Q52" s="6">
        <v>641720043</v>
      </c>
      <c r="R52" s="6" t="s">
        <v>242</v>
      </c>
      <c r="S52" s="6">
        <v>43</v>
      </c>
      <c r="T52" s="6" t="s">
        <v>103</v>
      </c>
      <c r="U52">
        <v>641</v>
      </c>
    </row>
    <row r="53" spans="1:21">
      <c r="A53" s="139" t="str">
        <f>IF(E53="","",VLOOKUP('Opći dio'!$C$3,'Opći dio'!$L$6:$U$136,10,FALSE))</f>
        <v/>
      </c>
      <c r="B53" s="139" t="str">
        <f>IF(E53="","",VLOOKUP('Opći dio'!$C$3,'Opći dio'!$L$6:$U$136,9,FALSE))</f>
        <v/>
      </c>
      <c r="C53" s="187" t="str">
        <f t="shared" si="3"/>
        <v/>
      </c>
      <c r="D53" s="138" t="str">
        <f t="shared" si="4"/>
        <v/>
      </c>
      <c r="E53" s="150"/>
      <c r="F53" s="191" t="str">
        <f t="shared" si="5"/>
        <v/>
      </c>
      <c r="G53" s="185"/>
      <c r="H53" s="185"/>
      <c r="I53" s="185"/>
      <c r="K53" s="141" t="str">
        <f t="shared" si="6"/>
        <v/>
      </c>
      <c r="L53" s="141" t="str">
        <f t="shared" si="7"/>
        <v/>
      </c>
      <c r="Q53" s="6">
        <v>641770041</v>
      </c>
      <c r="R53" s="6" t="s">
        <v>1545</v>
      </c>
      <c r="S53" s="6">
        <v>41</v>
      </c>
      <c r="T53" s="6" t="s">
        <v>1537</v>
      </c>
      <c r="U53">
        <v>641</v>
      </c>
    </row>
    <row r="54" spans="1:21">
      <c r="A54" s="139" t="str">
        <f>IF(E54="","",VLOOKUP('Opći dio'!$C$3,'Opći dio'!$L$6:$U$136,10,FALSE))</f>
        <v/>
      </c>
      <c r="B54" s="139" t="str">
        <f>IF(E54="","",VLOOKUP('Opći dio'!$C$3,'Opći dio'!$L$6:$U$136,9,FALSE))</f>
        <v/>
      </c>
      <c r="C54" s="187" t="str">
        <f t="shared" si="3"/>
        <v/>
      </c>
      <c r="D54" s="138" t="str">
        <f t="shared" si="4"/>
        <v/>
      </c>
      <c r="E54" s="150"/>
      <c r="F54" s="191" t="str">
        <f t="shared" si="5"/>
        <v/>
      </c>
      <c r="G54" s="185"/>
      <c r="H54" s="185"/>
      <c r="I54" s="185"/>
      <c r="K54" s="141" t="str">
        <f t="shared" si="6"/>
        <v/>
      </c>
      <c r="L54" s="141" t="str">
        <f t="shared" si="7"/>
        <v/>
      </c>
      <c r="Q54" s="6">
        <v>641990043</v>
      </c>
      <c r="R54" s="6" t="s">
        <v>2103</v>
      </c>
      <c r="S54" s="6">
        <v>43</v>
      </c>
      <c r="T54" s="6" t="s">
        <v>103</v>
      </c>
      <c r="U54">
        <v>641</v>
      </c>
    </row>
    <row r="55" spans="1:21">
      <c r="A55" s="139" t="str">
        <f>IF(E55="","",VLOOKUP('Opći dio'!$C$3,'Opći dio'!$L$6:$U$136,10,FALSE))</f>
        <v/>
      </c>
      <c r="B55" s="139" t="str">
        <f>IF(E55="","",VLOOKUP('Opći dio'!$C$3,'Opći dio'!$L$6:$U$136,9,FALSE))</f>
        <v/>
      </c>
      <c r="C55" s="187" t="str">
        <f t="shared" si="3"/>
        <v/>
      </c>
      <c r="D55" s="138" t="str">
        <f t="shared" si="4"/>
        <v/>
      </c>
      <c r="E55" s="150"/>
      <c r="F55" s="191" t="str">
        <f t="shared" si="5"/>
        <v/>
      </c>
      <c r="G55" s="185"/>
      <c r="H55" s="185"/>
      <c r="I55" s="185"/>
      <c r="K55" s="141" t="str">
        <f t="shared" si="6"/>
        <v/>
      </c>
      <c r="L55" s="141" t="str">
        <f t="shared" si="7"/>
        <v/>
      </c>
      <c r="Q55" s="6">
        <v>642510031</v>
      </c>
      <c r="R55" s="6" t="s">
        <v>240</v>
      </c>
      <c r="S55" s="6">
        <v>31</v>
      </c>
      <c r="T55" s="6" t="s">
        <v>98</v>
      </c>
      <c r="U55">
        <v>642</v>
      </c>
    </row>
    <row r="56" spans="1:21">
      <c r="A56" s="139" t="str">
        <f>IF(E56="","",VLOOKUP('Opći dio'!$C$3,'Opći dio'!$L$6:$U$136,10,FALSE))</f>
        <v/>
      </c>
      <c r="B56" s="139" t="str">
        <f>IF(E56="","",VLOOKUP('Opći dio'!$C$3,'Opći dio'!$L$6:$U$136,9,FALSE))</f>
        <v/>
      </c>
      <c r="C56" s="187" t="str">
        <f t="shared" si="3"/>
        <v/>
      </c>
      <c r="D56" s="138" t="str">
        <f t="shared" si="4"/>
        <v/>
      </c>
      <c r="E56" s="150"/>
      <c r="F56" s="191" t="str">
        <f t="shared" si="5"/>
        <v/>
      </c>
      <c r="G56" s="185"/>
      <c r="H56" s="185"/>
      <c r="I56" s="185"/>
      <c r="K56" s="141" t="str">
        <f t="shared" si="6"/>
        <v/>
      </c>
      <c r="L56" s="141" t="str">
        <f t="shared" si="7"/>
        <v/>
      </c>
      <c r="Q56" s="6">
        <v>642990031</v>
      </c>
      <c r="R56" s="6" t="s">
        <v>241</v>
      </c>
      <c r="S56" s="6">
        <v>31</v>
      </c>
      <c r="T56" s="6" t="s">
        <v>98</v>
      </c>
      <c r="U56">
        <v>642</v>
      </c>
    </row>
    <row r="57" spans="1:21">
      <c r="A57" s="139" t="str">
        <f>IF(E57="","",VLOOKUP('Opći dio'!$C$3,'Opći dio'!$L$6:$U$136,10,FALSE))</f>
        <v/>
      </c>
      <c r="B57" s="139" t="str">
        <f>IF(E57="","",VLOOKUP('Opći dio'!$C$3,'Opći dio'!$L$6:$U$136,9,FALSE))</f>
        <v/>
      </c>
      <c r="C57" s="187" t="str">
        <f t="shared" si="3"/>
        <v/>
      </c>
      <c r="D57" s="138" t="str">
        <f t="shared" si="4"/>
        <v/>
      </c>
      <c r="E57" s="150"/>
      <c r="F57" s="191" t="str">
        <f t="shared" si="5"/>
        <v/>
      </c>
      <c r="G57" s="185"/>
      <c r="H57" s="185"/>
      <c r="I57" s="185"/>
      <c r="K57" s="141" t="str">
        <f t="shared" si="6"/>
        <v/>
      </c>
      <c r="L57" s="141" t="str">
        <f t="shared" si="7"/>
        <v/>
      </c>
      <c r="Q57" s="6">
        <v>651480000</v>
      </c>
      <c r="R57" s="6" t="s">
        <v>22</v>
      </c>
      <c r="S57" s="6">
        <v>43</v>
      </c>
      <c r="T57" s="6" t="s">
        <v>103</v>
      </c>
      <c r="U57">
        <v>651</v>
      </c>
    </row>
    <row r="58" spans="1:21">
      <c r="A58" s="139" t="str">
        <f>IF(E58="","",VLOOKUP('Opći dio'!$C$3,'Opći dio'!$L$6:$U$136,10,FALSE))</f>
        <v/>
      </c>
      <c r="B58" s="139" t="str">
        <f>IF(E58="","",VLOOKUP('Opći dio'!$C$3,'Opći dio'!$L$6:$U$136,9,FALSE))</f>
        <v/>
      </c>
      <c r="C58" s="187" t="str">
        <f t="shared" si="3"/>
        <v/>
      </c>
      <c r="D58" s="138" t="str">
        <f t="shared" si="4"/>
        <v/>
      </c>
      <c r="E58" s="150"/>
      <c r="F58" s="191" t="str">
        <f t="shared" si="5"/>
        <v/>
      </c>
      <c r="G58" s="185"/>
      <c r="H58" s="185"/>
      <c r="I58" s="185"/>
      <c r="K58" s="141" t="str">
        <f t="shared" si="6"/>
        <v/>
      </c>
      <c r="L58" s="141" t="str">
        <f t="shared" si="7"/>
        <v/>
      </c>
      <c r="Q58" s="6">
        <v>652180000</v>
      </c>
      <c r="R58" s="6" t="s">
        <v>2104</v>
      </c>
      <c r="S58" s="6">
        <v>43</v>
      </c>
      <c r="T58" s="6" t="s">
        <v>103</v>
      </c>
      <c r="U58">
        <v>652</v>
      </c>
    </row>
    <row r="59" spans="1:21">
      <c r="A59" s="139" t="str">
        <f>IF(E59="","",VLOOKUP('Opći dio'!$C$3,'Opći dio'!$L$6:$U$136,10,FALSE))</f>
        <v/>
      </c>
      <c r="B59" s="139" t="str">
        <f>IF(E59="","",VLOOKUP('Opći dio'!$C$3,'Opći dio'!$L$6:$U$136,9,FALSE))</f>
        <v/>
      </c>
      <c r="C59" s="187" t="str">
        <f t="shared" si="3"/>
        <v/>
      </c>
      <c r="D59" s="138" t="str">
        <f t="shared" si="4"/>
        <v/>
      </c>
      <c r="E59" s="150"/>
      <c r="F59" s="191" t="str">
        <f t="shared" si="5"/>
        <v/>
      </c>
      <c r="G59" s="185"/>
      <c r="H59" s="185"/>
      <c r="I59" s="185"/>
      <c r="K59" s="141" t="str">
        <f t="shared" si="6"/>
        <v/>
      </c>
      <c r="L59" s="141" t="str">
        <f t="shared" si="7"/>
        <v/>
      </c>
      <c r="Q59" s="6">
        <v>652640000</v>
      </c>
      <c r="R59" s="6" t="s">
        <v>243</v>
      </c>
      <c r="S59" s="6">
        <v>43</v>
      </c>
      <c r="T59" s="6" t="s">
        <v>103</v>
      </c>
      <c r="U59">
        <v>625</v>
      </c>
    </row>
    <row r="60" spans="1:21">
      <c r="A60" s="139" t="str">
        <f>IF(E60="","",VLOOKUP('Opći dio'!$C$3,'Opći dio'!$L$6:$U$136,10,FALSE))</f>
        <v/>
      </c>
      <c r="B60" s="139" t="str">
        <f>IF(E60="","",VLOOKUP('Opći dio'!$C$3,'Opći dio'!$L$6:$U$136,9,FALSE))</f>
        <v/>
      </c>
      <c r="C60" s="187" t="str">
        <f t="shared" si="3"/>
        <v/>
      </c>
      <c r="D60" s="138" t="str">
        <f t="shared" si="4"/>
        <v/>
      </c>
      <c r="E60" s="150"/>
      <c r="F60" s="191" t="str">
        <f t="shared" si="5"/>
        <v/>
      </c>
      <c r="G60" s="185"/>
      <c r="H60" s="185"/>
      <c r="I60" s="185"/>
      <c r="K60" s="141" t="str">
        <f t="shared" si="6"/>
        <v/>
      </c>
      <c r="L60" s="141" t="str">
        <f t="shared" si="7"/>
        <v/>
      </c>
      <c r="Q60" s="6">
        <v>652670043</v>
      </c>
      <c r="R60" s="6" t="s">
        <v>244</v>
      </c>
      <c r="S60" s="6">
        <v>43</v>
      </c>
      <c r="T60" s="6" t="s">
        <v>103</v>
      </c>
      <c r="U60">
        <v>652</v>
      </c>
    </row>
    <row r="61" spans="1:21">
      <c r="A61" s="139" t="str">
        <f>IF(E61="","",VLOOKUP('Opći dio'!$C$3,'Opći dio'!$L$6:$U$136,10,FALSE))</f>
        <v/>
      </c>
      <c r="B61" s="139" t="str">
        <f>IF(E61="","",VLOOKUP('Opći dio'!$C$3,'Opći dio'!$L$6:$U$136,9,FALSE))</f>
        <v/>
      </c>
      <c r="C61" s="187" t="str">
        <f t="shared" si="3"/>
        <v/>
      </c>
      <c r="D61" s="138" t="str">
        <f t="shared" si="4"/>
        <v/>
      </c>
      <c r="E61" s="150"/>
      <c r="F61" s="191" t="str">
        <f t="shared" si="5"/>
        <v/>
      </c>
      <c r="G61" s="185"/>
      <c r="H61" s="185"/>
      <c r="I61" s="185"/>
      <c r="K61" s="141" t="str">
        <f t="shared" si="6"/>
        <v/>
      </c>
      <c r="L61" s="141" t="str">
        <f t="shared" si="7"/>
        <v/>
      </c>
      <c r="Q61" s="6">
        <v>652680000</v>
      </c>
      <c r="R61" s="6" t="s">
        <v>2105</v>
      </c>
      <c r="S61" s="6">
        <v>43</v>
      </c>
      <c r="T61" s="6" t="s">
        <v>103</v>
      </c>
      <c r="U61">
        <v>652</v>
      </c>
    </row>
    <row r="62" spans="1:21">
      <c r="A62" s="139" t="str">
        <f>IF(E62="","",VLOOKUP('Opći dio'!$C$3,'Opći dio'!$L$6:$U$136,10,FALSE))</f>
        <v/>
      </c>
      <c r="B62" s="139" t="str">
        <f>IF(E62="","",VLOOKUP('Opći dio'!$C$3,'Opći dio'!$L$6:$U$136,9,FALSE))</f>
        <v/>
      </c>
      <c r="C62" s="187" t="str">
        <f t="shared" si="3"/>
        <v/>
      </c>
      <c r="D62" s="138" t="str">
        <f t="shared" si="4"/>
        <v/>
      </c>
      <c r="E62" s="150"/>
      <c r="F62" s="191" t="str">
        <f t="shared" si="5"/>
        <v/>
      </c>
      <c r="G62" s="185"/>
      <c r="H62" s="185"/>
      <c r="I62" s="185"/>
      <c r="K62" s="141" t="str">
        <f t="shared" si="6"/>
        <v/>
      </c>
      <c r="L62" s="141" t="str">
        <f t="shared" si="7"/>
        <v/>
      </c>
      <c r="Q62" s="6">
        <v>6614</v>
      </c>
      <c r="R62" s="6" t="s">
        <v>2130</v>
      </c>
      <c r="S62" s="6">
        <v>31</v>
      </c>
      <c r="T62" s="6" t="s">
        <v>98</v>
      </c>
      <c r="U62">
        <v>661</v>
      </c>
    </row>
    <row r="63" spans="1:21">
      <c r="A63" s="139" t="str">
        <f>IF(E63="","",VLOOKUP('Opći dio'!$C$3,'Opći dio'!$L$6:$U$136,10,FALSE))</f>
        <v/>
      </c>
      <c r="B63" s="139" t="str">
        <f>IF(E63="","",VLOOKUP('Opći dio'!$C$3,'Opći dio'!$L$6:$U$136,9,FALSE))</f>
        <v/>
      </c>
      <c r="C63" s="187" t="str">
        <f t="shared" si="3"/>
        <v/>
      </c>
      <c r="D63" s="138" t="str">
        <f t="shared" si="4"/>
        <v/>
      </c>
      <c r="E63" s="150"/>
      <c r="F63" s="191" t="str">
        <f t="shared" si="5"/>
        <v/>
      </c>
      <c r="G63" s="185"/>
      <c r="H63" s="185"/>
      <c r="I63" s="185"/>
      <c r="K63" s="141" t="str">
        <f t="shared" si="6"/>
        <v/>
      </c>
      <c r="L63" s="141" t="str">
        <f t="shared" si="7"/>
        <v/>
      </c>
      <c r="Q63" s="6">
        <v>6615</v>
      </c>
      <c r="R63" s="6" t="s">
        <v>21</v>
      </c>
      <c r="S63" s="6">
        <v>31</v>
      </c>
      <c r="T63" s="6" t="s">
        <v>98</v>
      </c>
      <c r="U63">
        <v>661</v>
      </c>
    </row>
    <row r="64" spans="1:21">
      <c r="A64" s="139" t="str">
        <f>IF(E64="","",VLOOKUP('Opći dio'!$C$3,'Opći dio'!$L$6:$U$136,10,FALSE))</f>
        <v/>
      </c>
      <c r="B64" s="139" t="str">
        <f>IF(E64="","",VLOOKUP('Opći dio'!$C$3,'Opći dio'!$L$6:$U$136,9,FALSE))</f>
        <v/>
      </c>
      <c r="C64" s="187" t="str">
        <f t="shared" si="3"/>
        <v/>
      </c>
      <c r="D64" s="138" t="str">
        <f t="shared" si="4"/>
        <v/>
      </c>
      <c r="E64" s="150"/>
      <c r="F64" s="191" t="str">
        <f t="shared" si="5"/>
        <v/>
      </c>
      <c r="G64" s="185"/>
      <c r="H64" s="185"/>
      <c r="I64" s="185"/>
      <c r="K64" s="141" t="str">
        <f t="shared" si="6"/>
        <v/>
      </c>
      <c r="L64" s="141" t="str">
        <f t="shared" si="7"/>
        <v/>
      </c>
      <c r="Q64" s="6">
        <v>663110000</v>
      </c>
      <c r="R64" s="6" t="s">
        <v>35</v>
      </c>
      <c r="S64" s="6">
        <v>61</v>
      </c>
      <c r="T64" s="6" t="s">
        <v>2106</v>
      </c>
      <c r="U64">
        <v>663</v>
      </c>
    </row>
    <row r="65" spans="1:21">
      <c r="A65" s="139" t="str">
        <f>IF(E65="","",VLOOKUP('Opći dio'!$C$3,'Opći dio'!$L$6:$U$136,10,FALSE))</f>
        <v/>
      </c>
      <c r="B65" s="139" t="str">
        <f>IF(E65="","",VLOOKUP('Opći dio'!$C$3,'Opći dio'!$L$6:$U$136,9,FALSE))</f>
        <v/>
      </c>
      <c r="C65" s="187" t="str">
        <f t="shared" si="3"/>
        <v/>
      </c>
      <c r="D65" s="138" t="str">
        <f t="shared" si="4"/>
        <v/>
      </c>
      <c r="E65" s="150"/>
      <c r="F65" s="191" t="str">
        <f t="shared" si="5"/>
        <v/>
      </c>
      <c r="G65" s="185"/>
      <c r="H65" s="185"/>
      <c r="I65" s="185"/>
      <c r="K65" s="141" t="str">
        <f t="shared" si="6"/>
        <v/>
      </c>
      <c r="L65" s="141" t="str">
        <f t="shared" si="7"/>
        <v/>
      </c>
      <c r="Q65" s="6">
        <v>663120000</v>
      </c>
      <c r="R65" s="6" t="s">
        <v>36</v>
      </c>
      <c r="S65" s="6">
        <v>61</v>
      </c>
      <c r="T65" s="6" t="s">
        <v>2106</v>
      </c>
      <c r="U65">
        <v>663</v>
      </c>
    </row>
    <row r="66" spans="1:21">
      <c r="A66" s="139" t="str">
        <f>IF(E66="","",VLOOKUP('Opći dio'!$C$3,'Opći dio'!$L$6:$U$136,10,FALSE))</f>
        <v/>
      </c>
      <c r="B66" s="139" t="str">
        <f>IF(E66="","",VLOOKUP('Opći dio'!$C$3,'Opći dio'!$L$6:$U$136,9,FALSE))</f>
        <v/>
      </c>
      <c r="C66" s="187" t="str">
        <f t="shared" si="3"/>
        <v/>
      </c>
      <c r="D66" s="138" t="str">
        <f t="shared" si="4"/>
        <v/>
      </c>
      <c r="E66" s="150"/>
      <c r="F66" s="191" t="str">
        <f t="shared" si="5"/>
        <v/>
      </c>
      <c r="G66" s="185"/>
      <c r="H66" s="185"/>
      <c r="I66" s="185"/>
      <c r="K66" s="141" t="str">
        <f t="shared" si="6"/>
        <v/>
      </c>
      <c r="L66" s="141" t="str">
        <f t="shared" si="7"/>
        <v/>
      </c>
      <c r="Q66" s="6">
        <v>663130000</v>
      </c>
      <c r="R66" s="6" t="s">
        <v>37</v>
      </c>
      <c r="S66" s="6">
        <v>61</v>
      </c>
      <c r="T66" s="6" t="s">
        <v>2106</v>
      </c>
      <c r="U66">
        <v>663</v>
      </c>
    </row>
    <row r="67" spans="1:21">
      <c r="A67" s="139" t="str">
        <f>IF(E67="","",VLOOKUP('Opći dio'!$C$3,'Opći dio'!$L$6:$U$136,10,FALSE))</f>
        <v/>
      </c>
      <c r="B67" s="139" t="str">
        <f>IF(E67="","",VLOOKUP('Opći dio'!$C$3,'Opći dio'!$L$6:$U$136,9,FALSE))</f>
        <v/>
      </c>
      <c r="C67" s="187" t="str">
        <f t="shared" si="3"/>
        <v/>
      </c>
      <c r="D67" s="138" t="str">
        <f t="shared" si="4"/>
        <v/>
      </c>
      <c r="E67" s="150"/>
      <c r="F67" s="191" t="str">
        <f t="shared" si="5"/>
        <v/>
      </c>
      <c r="G67" s="185"/>
      <c r="H67" s="185"/>
      <c r="I67" s="185"/>
      <c r="K67" s="141" t="str">
        <f t="shared" si="6"/>
        <v/>
      </c>
      <c r="L67" s="141" t="str">
        <f t="shared" si="7"/>
        <v/>
      </c>
      <c r="Q67" s="6">
        <v>663140000</v>
      </c>
      <c r="R67" s="6" t="s">
        <v>2107</v>
      </c>
      <c r="S67" s="6">
        <v>61</v>
      </c>
      <c r="T67" s="6" t="s">
        <v>2106</v>
      </c>
      <c r="U67">
        <v>663</v>
      </c>
    </row>
    <row r="68" spans="1:21">
      <c r="A68" s="139" t="str">
        <f>IF(E68="","",VLOOKUP('Opći dio'!$C$3,'Opći dio'!$L$6:$U$136,10,FALSE))</f>
        <v/>
      </c>
      <c r="B68" s="139" t="str">
        <f>IF(E68="","",VLOOKUP('Opći dio'!$C$3,'Opći dio'!$L$6:$U$136,9,FALSE))</f>
        <v/>
      </c>
      <c r="C68" s="187" t="str">
        <f t="shared" ref="C68:C131" si="8">IFERROR(VLOOKUP(E68,$Q$6:$T$200,3,FALSE),"")</f>
        <v/>
      </c>
      <c r="D68" s="138" t="str">
        <f t="shared" ref="D68:D131" si="9">IFERROR(VLOOKUP(E68,$Q$6:$T$200,4,FALSE),"")</f>
        <v/>
      </c>
      <c r="E68" s="150"/>
      <c r="F68" s="191" t="str">
        <f t="shared" ref="F68:F131" si="10">IFERROR(VLOOKUP(E68,$Q$6:$T$200,2,FALSE),"")</f>
        <v/>
      </c>
      <c r="G68" s="185"/>
      <c r="H68" s="185"/>
      <c r="I68" s="185"/>
      <c r="K68" s="141" t="str">
        <f t="shared" ref="K68:K131" si="11">LEFT(E68,3)</f>
        <v/>
      </c>
      <c r="L68" s="141" t="str">
        <f t="shared" ref="L68:L131" si="12">LEFT(E68,2)</f>
        <v/>
      </c>
      <c r="Q68" s="6">
        <v>663210000</v>
      </c>
      <c r="R68" s="6" t="s">
        <v>2108</v>
      </c>
      <c r="S68" s="6">
        <v>61</v>
      </c>
      <c r="T68" s="6" t="s">
        <v>2106</v>
      </c>
      <c r="U68">
        <v>663</v>
      </c>
    </row>
    <row r="69" spans="1:21">
      <c r="A69" s="139" t="str">
        <f>IF(E69="","",VLOOKUP('Opći dio'!$C$3,'Opći dio'!$L$6:$U$136,10,FALSE))</f>
        <v/>
      </c>
      <c r="B69" s="139" t="str">
        <f>IF(E69="","",VLOOKUP('Opći dio'!$C$3,'Opći dio'!$L$6:$U$136,9,FALSE))</f>
        <v/>
      </c>
      <c r="C69" s="187" t="str">
        <f t="shared" si="8"/>
        <v/>
      </c>
      <c r="D69" s="138" t="str">
        <f t="shared" si="9"/>
        <v/>
      </c>
      <c r="E69" s="150"/>
      <c r="F69" s="191" t="str">
        <f t="shared" si="10"/>
        <v/>
      </c>
      <c r="G69" s="185"/>
      <c r="H69" s="185"/>
      <c r="I69" s="185"/>
      <c r="K69" s="141" t="str">
        <f t="shared" si="11"/>
        <v/>
      </c>
      <c r="L69" s="141" t="str">
        <f t="shared" si="12"/>
        <v/>
      </c>
      <c r="Q69" s="6">
        <v>663220000</v>
      </c>
      <c r="R69" s="6" t="s">
        <v>38</v>
      </c>
      <c r="S69" s="6">
        <v>61</v>
      </c>
      <c r="T69" s="6" t="s">
        <v>2106</v>
      </c>
      <c r="U69">
        <v>663</v>
      </c>
    </row>
    <row r="70" spans="1:21">
      <c r="A70" s="139" t="str">
        <f>IF(E70="","",VLOOKUP('Opći dio'!$C$3,'Opći dio'!$L$6:$U$136,10,FALSE))</f>
        <v/>
      </c>
      <c r="B70" s="139" t="str">
        <f>IF(E70="","",VLOOKUP('Opći dio'!$C$3,'Opći dio'!$L$6:$U$136,9,FALSE))</f>
        <v/>
      </c>
      <c r="C70" s="187" t="str">
        <f t="shared" si="8"/>
        <v/>
      </c>
      <c r="D70" s="138" t="str">
        <f t="shared" si="9"/>
        <v/>
      </c>
      <c r="E70" s="150"/>
      <c r="F70" s="191" t="str">
        <f t="shared" si="10"/>
        <v/>
      </c>
      <c r="G70" s="185"/>
      <c r="H70" s="185"/>
      <c r="I70" s="185"/>
      <c r="K70" s="141" t="str">
        <f t="shared" si="11"/>
        <v/>
      </c>
      <c r="L70" s="141" t="str">
        <f t="shared" si="12"/>
        <v/>
      </c>
      <c r="Q70" s="6">
        <v>663230000</v>
      </c>
      <c r="R70" s="6" t="s">
        <v>39</v>
      </c>
      <c r="S70" s="6">
        <v>61</v>
      </c>
      <c r="T70" s="6" t="s">
        <v>2106</v>
      </c>
      <c r="U70">
        <v>663</v>
      </c>
    </row>
    <row r="71" spans="1:21">
      <c r="A71" s="139" t="str">
        <f>IF(E71="","",VLOOKUP('Opći dio'!$C$3,'Opći dio'!$L$6:$U$136,10,FALSE))</f>
        <v/>
      </c>
      <c r="B71" s="139" t="str">
        <f>IF(E71="","",VLOOKUP('Opći dio'!$C$3,'Opći dio'!$L$6:$U$136,9,FALSE))</f>
        <v/>
      </c>
      <c r="C71" s="187" t="str">
        <f t="shared" si="8"/>
        <v/>
      </c>
      <c r="D71" s="138" t="str">
        <f t="shared" si="9"/>
        <v/>
      </c>
      <c r="E71" s="150"/>
      <c r="F71" s="191" t="str">
        <f t="shared" si="10"/>
        <v/>
      </c>
      <c r="G71" s="185"/>
      <c r="H71" s="185"/>
      <c r="I71" s="185"/>
      <c r="K71" s="141" t="str">
        <f t="shared" si="11"/>
        <v/>
      </c>
      <c r="L71" s="141" t="str">
        <f t="shared" si="12"/>
        <v/>
      </c>
      <c r="Q71" s="6">
        <v>663240000</v>
      </c>
      <c r="R71" s="6" t="s">
        <v>2109</v>
      </c>
      <c r="S71" s="6">
        <v>61</v>
      </c>
      <c r="T71" s="6" t="s">
        <v>2106</v>
      </c>
      <c r="U71">
        <v>663</v>
      </c>
    </row>
    <row r="72" spans="1:21">
      <c r="A72" s="139" t="str">
        <f>IF(E72="","",VLOOKUP('Opći dio'!$C$3,'Opći dio'!$L$6:$U$136,10,FALSE))</f>
        <v/>
      </c>
      <c r="B72" s="139" t="str">
        <f>IF(E72="","",VLOOKUP('Opći dio'!$C$3,'Opći dio'!$L$6:$U$136,9,FALSE))</f>
        <v/>
      </c>
      <c r="C72" s="187" t="str">
        <f t="shared" si="8"/>
        <v/>
      </c>
      <c r="D72" s="138" t="str">
        <f t="shared" si="9"/>
        <v/>
      </c>
      <c r="E72" s="150"/>
      <c r="F72" s="191" t="str">
        <f t="shared" si="10"/>
        <v/>
      </c>
      <c r="G72" s="185"/>
      <c r="H72" s="185"/>
      <c r="I72" s="185"/>
      <c r="K72" s="141" t="str">
        <f t="shared" si="11"/>
        <v/>
      </c>
      <c r="L72" s="141" t="str">
        <f t="shared" si="12"/>
        <v/>
      </c>
      <c r="Q72" s="6">
        <v>681910043</v>
      </c>
      <c r="R72" s="6" t="s">
        <v>245</v>
      </c>
      <c r="S72" s="6">
        <v>43</v>
      </c>
      <c r="T72" s="6" t="s">
        <v>103</v>
      </c>
      <c r="U72">
        <v>681</v>
      </c>
    </row>
    <row r="73" spans="1:21">
      <c r="A73" s="139" t="str">
        <f>IF(E73="","",VLOOKUP('Opći dio'!$C$3,'Opći dio'!$L$6:$U$136,10,FALSE))</f>
        <v/>
      </c>
      <c r="B73" s="139" t="str">
        <f>IF(E73="","",VLOOKUP('Opći dio'!$C$3,'Opći dio'!$L$6:$U$136,9,FALSE))</f>
        <v/>
      </c>
      <c r="C73" s="187" t="str">
        <f t="shared" si="8"/>
        <v/>
      </c>
      <c r="D73" s="138" t="str">
        <f t="shared" si="9"/>
        <v/>
      </c>
      <c r="E73" s="150"/>
      <c r="F73" s="191" t="str">
        <f t="shared" si="10"/>
        <v/>
      </c>
      <c r="G73" s="185"/>
      <c r="H73" s="185"/>
      <c r="I73" s="185"/>
      <c r="K73" s="141" t="str">
        <f t="shared" si="11"/>
        <v/>
      </c>
      <c r="L73" s="141" t="str">
        <f t="shared" si="12"/>
        <v/>
      </c>
      <c r="Q73" s="6">
        <v>683110031</v>
      </c>
      <c r="R73" s="6" t="s">
        <v>2110</v>
      </c>
      <c r="S73" s="6">
        <v>31</v>
      </c>
      <c r="T73" s="6" t="s">
        <v>98</v>
      </c>
      <c r="U73">
        <v>683</v>
      </c>
    </row>
    <row r="74" spans="1:21">
      <c r="A74" s="139" t="str">
        <f>IF(E74="","",VLOOKUP('Opći dio'!$C$3,'Opći dio'!$L$6:$U$136,10,FALSE))</f>
        <v/>
      </c>
      <c r="B74" s="139" t="str">
        <f>IF(E74="","",VLOOKUP('Opći dio'!$C$3,'Opći dio'!$L$6:$U$136,9,FALSE))</f>
        <v/>
      </c>
      <c r="C74" s="187" t="str">
        <f t="shared" si="8"/>
        <v/>
      </c>
      <c r="D74" s="138" t="str">
        <f t="shared" si="9"/>
        <v/>
      </c>
      <c r="E74" s="150"/>
      <c r="F74" s="191" t="str">
        <f t="shared" si="10"/>
        <v/>
      </c>
      <c r="G74" s="185"/>
      <c r="H74" s="185"/>
      <c r="I74" s="185"/>
      <c r="K74" s="141" t="str">
        <f t="shared" si="11"/>
        <v/>
      </c>
      <c r="L74" s="141" t="str">
        <f t="shared" si="12"/>
        <v/>
      </c>
      <c r="Q74" s="6">
        <v>683110043</v>
      </c>
      <c r="R74" s="6" t="s">
        <v>246</v>
      </c>
      <c r="S74" s="6">
        <v>43</v>
      </c>
      <c r="T74" s="6" t="s">
        <v>103</v>
      </c>
      <c r="U74">
        <v>683</v>
      </c>
    </row>
    <row r="75" spans="1:21">
      <c r="A75" s="139" t="str">
        <f>IF(E75="","",VLOOKUP('Opći dio'!$C$3,'Opći dio'!$L$6:$U$136,10,FALSE))</f>
        <v/>
      </c>
      <c r="B75" s="139" t="str">
        <f>IF(E75="","",VLOOKUP('Opći dio'!$C$3,'Opći dio'!$L$6:$U$136,9,FALSE))</f>
        <v/>
      </c>
      <c r="C75" s="187" t="str">
        <f t="shared" si="8"/>
        <v/>
      </c>
      <c r="D75" s="138" t="str">
        <f t="shared" si="9"/>
        <v/>
      </c>
      <c r="E75" s="150"/>
      <c r="F75" s="191" t="str">
        <f t="shared" si="10"/>
        <v/>
      </c>
      <c r="G75" s="185"/>
      <c r="H75" s="185"/>
      <c r="I75" s="185"/>
      <c r="K75" s="141" t="str">
        <f t="shared" si="11"/>
        <v/>
      </c>
      <c r="L75" s="141" t="str">
        <f t="shared" si="12"/>
        <v/>
      </c>
      <c r="Q75" s="6">
        <v>711110071</v>
      </c>
      <c r="R75" s="6" t="s">
        <v>2111</v>
      </c>
      <c r="S75" s="6">
        <v>71</v>
      </c>
      <c r="T75" s="6" t="s">
        <v>2112</v>
      </c>
      <c r="U75">
        <v>711</v>
      </c>
    </row>
    <row r="76" spans="1:21">
      <c r="A76" s="139" t="str">
        <f>IF(E76="","",VLOOKUP('Opći dio'!$C$3,'Opći dio'!$L$6:$U$136,10,FALSE))</f>
        <v/>
      </c>
      <c r="B76" s="139" t="str">
        <f>IF(E76="","",VLOOKUP('Opći dio'!$C$3,'Opći dio'!$L$6:$U$136,9,FALSE))</f>
        <v/>
      </c>
      <c r="C76" s="187" t="str">
        <f t="shared" si="8"/>
        <v/>
      </c>
      <c r="D76" s="138" t="str">
        <f t="shared" si="9"/>
        <v/>
      </c>
      <c r="E76" s="150"/>
      <c r="F76" s="191" t="str">
        <f t="shared" si="10"/>
        <v/>
      </c>
      <c r="G76" s="185"/>
      <c r="H76" s="185"/>
      <c r="I76" s="185"/>
      <c r="K76" s="141" t="str">
        <f t="shared" si="11"/>
        <v/>
      </c>
      <c r="L76" s="141" t="str">
        <f t="shared" si="12"/>
        <v/>
      </c>
      <c r="Q76" s="6">
        <v>711120071</v>
      </c>
      <c r="R76" s="6" t="s">
        <v>2113</v>
      </c>
      <c r="S76" s="6">
        <v>71</v>
      </c>
      <c r="T76" s="6" t="s">
        <v>2112</v>
      </c>
      <c r="U76">
        <v>711</v>
      </c>
    </row>
    <row r="77" spans="1:21">
      <c r="A77" s="139" t="str">
        <f>IF(E77="","",VLOOKUP('Opći dio'!$C$3,'Opći dio'!$L$6:$U$136,10,FALSE))</f>
        <v/>
      </c>
      <c r="B77" s="139" t="str">
        <f>IF(E77="","",VLOOKUP('Opći dio'!$C$3,'Opći dio'!$L$6:$U$136,9,FALSE))</f>
        <v/>
      </c>
      <c r="C77" s="187" t="str">
        <f t="shared" si="8"/>
        <v/>
      </c>
      <c r="D77" s="138" t="str">
        <f t="shared" si="9"/>
        <v/>
      </c>
      <c r="E77" s="150"/>
      <c r="F77" s="191" t="str">
        <f t="shared" si="10"/>
        <v/>
      </c>
      <c r="G77" s="185"/>
      <c r="H77" s="185"/>
      <c r="I77" s="185"/>
      <c r="K77" s="141" t="str">
        <f t="shared" si="11"/>
        <v/>
      </c>
      <c r="L77" s="141" t="str">
        <f t="shared" si="12"/>
        <v/>
      </c>
      <c r="Q77" s="6">
        <v>712410071</v>
      </c>
      <c r="R77" s="6" t="s">
        <v>248</v>
      </c>
      <c r="S77" s="6">
        <v>71</v>
      </c>
      <c r="T77" s="6" t="s">
        <v>2112</v>
      </c>
      <c r="U77">
        <v>712</v>
      </c>
    </row>
    <row r="78" spans="1:21">
      <c r="A78" s="139" t="str">
        <f>IF(E78="","",VLOOKUP('Opći dio'!$C$3,'Opći dio'!$L$6:$U$136,10,FALSE))</f>
        <v/>
      </c>
      <c r="B78" s="139" t="str">
        <f>IF(E78="","",VLOOKUP('Opći dio'!$C$3,'Opći dio'!$L$6:$U$136,9,FALSE))</f>
        <v/>
      </c>
      <c r="C78" s="187" t="str">
        <f t="shared" si="8"/>
        <v/>
      </c>
      <c r="D78" s="138" t="str">
        <f t="shared" si="9"/>
        <v/>
      </c>
      <c r="E78" s="150"/>
      <c r="F78" s="191" t="str">
        <f t="shared" si="10"/>
        <v/>
      </c>
      <c r="G78" s="185"/>
      <c r="H78" s="185"/>
      <c r="I78" s="185"/>
      <c r="K78" s="141" t="str">
        <f t="shared" si="11"/>
        <v/>
      </c>
      <c r="L78" s="141" t="str">
        <f t="shared" si="12"/>
        <v/>
      </c>
      <c r="Q78" s="6">
        <v>712490071</v>
      </c>
      <c r="R78" s="6" t="s">
        <v>249</v>
      </c>
      <c r="S78" s="6">
        <v>71</v>
      </c>
      <c r="T78" s="6" t="s">
        <v>2112</v>
      </c>
      <c r="U78">
        <v>712</v>
      </c>
    </row>
    <row r="79" spans="1:21">
      <c r="A79" s="139" t="str">
        <f>IF(E79="","",VLOOKUP('Opći dio'!$C$3,'Opći dio'!$L$6:$U$136,10,FALSE))</f>
        <v/>
      </c>
      <c r="B79" s="139" t="str">
        <f>IF(E79="","",VLOOKUP('Opći dio'!$C$3,'Opći dio'!$L$6:$U$136,9,FALSE))</f>
        <v/>
      </c>
      <c r="C79" s="187" t="str">
        <f t="shared" si="8"/>
        <v/>
      </c>
      <c r="D79" s="138" t="str">
        <f t="shared" si="9"/>
        <v/>
      </c>
      <c r="E79" s="150"/>
      <c r="F79" s="191" t="str">
        <f t="shared" si="10"/>
        <v/>
      </c>
      <c r="G79" s="185"/>
      <c r="H79" s="185"/>
      <c r="I79" s="185"/>
      <c r="K79" s="141" t="str">
        <f t="shared" si="11"/>
        <v/>
      </c>
      <c r="L79" s="141" t="str">
        <f t="shared" si="12"/>
        <v/>
      </c>
      <c r="Q79" s="6">
        <v>721110071</v>
      </c>
      <c r="R79" s="6" t="s">
        <v>250</v>
      </c>
      <c r="S79" s="6">
        <v>71</v>
      </c>
      <c r="T79" s="6" t="s">
        <v>2112</v>
      </c>
      <c r="U79">
        <v>721</v>
      </c>
    </row>
    <row r="80" spans="1:21">
      <c r="A80" s="139" t="str">
        <f>IF(E80="","",VLOOKUP('Opći dio'!$C$3,'Opći dio'!$L$6:$U$136,10,FALSE))</f>
        <v/>
      </c>
      <c r="B80" s="139" t="str">
        <f>IF(E80="","",VLOOKUP('Opći dio'!$C$3,'Opći dio'!$L$6:$U$136,9,FALSE))</f>
        <v/>
      </c>
      <c r="C80" s="187" t="str">
        <f t="shared" si="8"/>
        <v/>
      </c>
      <c r="D80" s="138" t="str">
        <f t="shared" si="9"/>
        <v/>
      </c>
      <c r="E80" s="150"/>
      <c r="F80" s="191" t="str">
        <f t="shared" si="10"/>
        <v/>
      </c>
      <c r="G80" s="185"/>
      <c r="H80" s="185"/>
      <c r="I80" s="185"/>
      <c r="K80" s="141" t="str">
        <f t="shared" si="11"/>
        <v/>
      </c>
      <c r="L80" s="141" t="str">
        <f t="shared" si="12"/>
        <v/>
      </c>
      <c r="Q80" s="6">
        <v>721190071</v>
      </c>
      <c r="R80" s="6" t="s">
        <v>251</v>
      </c>
      <c r="S80" s="6">
        <v>71</v>
      </c>
      <c r="T80" s="6" t="s">
        <v>2112</v>
      </c>
      <c r="U80">
        <v>721</v>
      </c>
    </row>
    <row r="81" spans="1:21">
      <c r="A81" s="139" t="str">
        <f>IF(E81="","",VLOOKUP('Opći dio'!$C$3,'Opći dio'!$L$6:$U$136,10,FALSE))</f>
        <v/>
      </c>
      <c r="B81" s="139" t="str">
        <f>IF(E81="","",VLOOKUP('Opći dio'!$C$3,'Opći dio'!$L$6:$U$136,9,FALSE))</f>
        <v/>
      </c>
      <c r="C81" s="187" t="str">
        <f t="shared" si="8"/>
        <v/>
      </c>
      <c r="D81" s="138" t="str">
        <f t="shared" si="9"/>
        <v/>
      </c>
      <c r="E81" s="150"/>
      <c r="F81" s="191" t="str">
        <f t="shared" si="10"/>
        <v/>
      </c>
      <c r="G81" s="185"/>
      <c r="H81" s="185"/>
      <c r="I81" s="185"/>
      <c r="K81" s="141" t="str">
        <f t="shared" si="11"/>
        <v/>
      </c>
      <c r="L81" s="141" t="str">
        <f t="shared" si="12"/>
        <v/>
      </c>
      <c r="Q81" s="6">
        <v>721230071</v>
      </c>
      <c r="R81" s="6" t="s">
        <v>252</v>
      </c>
      <c r="S81" s="6">
        <v>71</v>
      </c>
      <c r="T81" s="6" t="s">
        <v>2112</v>
      </c>
      <c r="U81">
        <v>721</v>
      </c>
    </row>
    <row r="82" spans="1:21">
      <c r="A82" s="139" t="str">
        <f>IF(E82="","",VLOOKUP('Opći dio'!$C$3,'Opći dio'!$L$6:$U$136,10,FALSE))</f>
        <v/>
      </c>
      <c r="B82" s="139" t="str">
        <f>IF(E82="","",VLOOKUP('Opći dio'!$C$3,'Opći dio'!$L$6:$U$136,9,FALSE))</f>
        <v/>
      </c>
      <c r="C82" s="187" t="str">
        <f t="shared" si="8"/>
        <v/>
      </c>
      <c r="D82" s="138" t="str">
        <f t="shared" si="9"/>
        <v/>
      </c>
      <c r="E82" s="150"/>
      <c r="F82" s="191" t="str">
        <f t="shared" si="10"/>
        <v/>
      </c>
      <c r="G82" s="185"/>
      <c r="H82" s="185"/>
      <c r="I82" s="185"/>
      <c r="K82" s="141" t="str">
        <f t="shared" si="11"/>
        <v/>
      </c>
      <c r="L82" s="141" t="str">
        <f t="shared" si="12"/>
        <v/>
      </c>
      <c r="Q82" s="6">
        <v>721290071</v>
      </c>
      <c r="R82" s="6" t="s">
        <v>253</v>
      </c>
      <c r="S82" s="6">
        <v>71</v>
      </c>
      <c r="T82" s="6" t="s">
        <v>2112</v>
      </c>
      <c r="U82">
        <v>721</v>
      </c>
    </row>
    <row r="83" spans="1:21">
      <c r="A83" s="139" t="str">
        <f>IF(E83="","",VLOOKUP('Opći dio'!$C$3,'Opći dio'!$L$6:$U$136,10,FALSE))</f>
        <v/>
      </c>
      <c r="B83" s="139" t="str">
        <f>IF(E83="","",VLOOKUP('Opći dio'!$C$3,'Opći dio'!$L$6:$U$136,9,FALSE))</f>
        <v/>
      </c>
      <c r="C83" s="187" t="str">
        <f t="shared" si="8"/>
        <v/>
      </c>
      <c r="D83" s="138" t="str">
        <f t="shared" si="9"/>
        <v/>
      </c>
      <c r="E83" s="150"/>
      <c r="F83" s="191" t="str">
        <f t="shared" si="10"/>
        <v/>
      </c>
      <c r="G83" s="185"/>
      <c r="H83" s="185"/>
      <c r="I83" s="185"/>
      <c r="K83" s="141" t="str">
        <f t="shared" si="11"/>
        <v/>
      </c>
      <c r="L83" s="141" t="str">
        <f t="shared" si="12"/>
        <v/>
      </c>
      <c r="Q83" s="6">
        <v>722110071</v>
      </c>
      <c r="R83" s="6" t="s">
        <v>254</v>
      </c>
      <c r="S83" s="6">
        <v>71</v>
      </c>
      <c r="T83" s="6" t="s">
        <v>2112</v>
      </c>
      <c r="U83">
        <v>722</v>
      </c>
    </row>
    <row r="84" spans="1:21">
      <c r="A84" s="139" t="str">
        <f>IF(E84="","",VLOOKUP('Opći dio'!$C$3,'Opći dio'!$L$6:$U$136,10,FALSE))</f>
        <v/>
      </c>
      <c r="B84" s="139" t="str">
        <f>IF(E84="","",VLOOKUP('Opći dio'!$C$3,'Opći dio'!$L$6:$U$136,9,FALSE))</f>
        <v/>
      </c>
      <c r="C84" s="187" t="str">
        <f t="shared" si="8"/>
        <v/>
      </c>
      <c r="D84" s="138" t="str">
        <f t="shared" si="9"/>
        <v/>
      </c>
      <c r="E84" s="150"/>
      <c r="F84" s="191" t="str">
        <f t="shared" si="10"/>
        <v/>
      </c>
      <c r="G84" s="185"/>
      <c r="H84" s="185"/>
      <c r="I84" s="185"/>
      <c r="K84" s="141" t="str">
        <f t="shared" si="11"/>
        <v/>
      </c>
      <c r="L84" s="141" t="str">
        <f t="shared" si="12"/>
        <v/>
      </c>
      <c r="Q84" s="6">
        <v>722120071</v>
      </c>
      <c r="R84" s="6" t="s">
        <v>2114</v>
      </c>
      <c r="S84" s="6">
        <v>71</v>
      </c>
      <c r="T84" s="6" t="s">
        <v>2112</v>
      </c>
      <c r="U84">
        <v>722</v>
      </c>
    </row>
    <row r="85" spans="1:21">
      <c r="A85" s="139" t="str">
        <f>IF(E85="","",VLOOKUP('Opći dio'!$C$3,'Opći dio'!$L$6:$U$136,10,FALSE))</f>
        <v/>
      </c>
      <c r="B85" s="139" t="str">
        <f>IF(E85="","",VLOOKUP('Opći dio'!$C$3,'Opći dio'!$L$6:$U$136,9,FALSE))</f>
        <v/>
      </c>
      <c r="C85" s="187" t="str">
        <f t="shared" si="8"/>
        <v/>
      </c>
      <c r="D85" s="138" t="str">
        <f t="shared" si="9"/>
        <v/>
      </c>
      <c r="E85" s="150"/>
      <c r="F85" s="191" t="str">
        <f t="shared" si="10"/>
        <v/>
      </c>
      <c r="G85" s="185"/>
      <c r="H85" s="185"/>
      <c r="I85" s="185"/>
      <c r="K85" s="141" t="str">
        <f t="shared" si="11"/>
        <v/>
      </c>
      <c r="L85" s="141" t="str">
        <f t="shared" si="12"/>
        <v/>
      </c>
      <c r="Q85" s="6">
        <v>722190071</v>
      </c>
      <c r="R85" s="6" t="s">
        <v>255</v>
      </c>
      <c r="S85" s="6">
        <v>71</v>
      </c>
      <c r="T85" s="6" t="s">
        <v>2112</v>
      </c>
      <c r="U85">
        <v>722</v>
      </c>
    </row>
    <row r="86" spans="1:21">
      <c r="A86" s="139" t="str">
        <f>IF(E86="","",VLOOKUP('Opći dio'!$C$3,'Opći dio'!$L$6:$U$136,10,FALSE))</f>
        <v/>
      </c>
      <c r="B86" s="139" t="str">
        <f>IF(E86="","",VLOOKUP('Opći dio'!$C$3,'Opći dio'!$L$6:$U$136,9,FALSE))</f>
        <v/>
      </c>
      <c r="C86" s="187" t="str">
        <f t="shared" si="8"/>
        <v/>
      </c>
      <c r="D86" s="138" t="str">
        <f t="shared" si="9"/>
        <v/>
      </c>
      <c r="E86" s="150"/>
      <c r="F86" s="191" t="str">
        <f t="shared" si="10"/>
        <v/>
      </c>
      <c r="G86" s="185"/>
      <c r="H86" s="185"/>
      <c r="I86" s="185"/>
      <c r="K86" s="141" t="str">
        <f t="shared" si="11"/>
        <v/>
      </c>
      <c r="L86" s="141" t="str">
        <f t="shared" si="12"/>
        <v/>
      </c>
      <c r="Q86" s="6">
        <v>722620071</v>
      </c>
      <c r="R86" s="6" t="s">
        <v>256</v>
      </c>
      <c r="S86" s="6">
        <v>71</v>
      </c>
      <c r="T86" s="6" t="s">
        <v>2112</v>
      </c>
      <c r="U86">
        <v>722</v>
      </c>
    </row>
    <row r="87" spans="1:21">
      <c r="A87" s="139" t="str">
        <f>IF(E87="","",VLOOKUP('Opći dio'!$C$3,'Opći dio'!$L$6:$U$136,10,FALSE))</f>
        <v/>
      </c>
      <c r="B87" s="139" t="str">
        <f>IF(E87="","",VLOOKUP('Opći dio'!$C$3,'Opći dio'!$L$6:$U$136,9,FALSE))</f>
        <v/>
      </c>
      <c r="C87" s="187" t="str">
        <f t="shared" si="8"/>
        <v/>
      </c>
      <c r="D87" s="138" t="str">
        <f t="shared" si="9"/>
        <v/>
      </c>
      <c r="E87" s="150"/>
      <c r="F87" s="191" t="str">
        <f t="shared" si="10"/>
        <v/>
      </c>
      <c r="G87" s="185"/>
      <c r="H87" s="185"/>
      <c r="I87" s="185"/>
      <c r="K87" s="141" t="str">
        <f t="shared" si="11"/>
        <v/>
      </c>
      <c r="L87" s="141" t="str">
        <f t="shared" si="12"/>
        <v/>
      </c>
      <c r="Q87" s="6">
        <v>722730071</v>
      </c>
      <c r="R87" s="6" t="s">
        <v>257</v>
      </c>
      <c r="S87" s="6">
        <v>71</v>
      </c>
      <c r="T87" s="6" t="s">
        <v>2112</v>
      </c>
      <c r="U87">
        <v>722</v>
      </c>
    </row>
    <row r="88" spans="1:21">
      <c r="A88" s="139" t="str">
        <f>IF(E88="","",VLOOKUP('Opći dio'!$C$3,'Opći dio'!$L$6:$U$136,10,FALSE))</f>
        <v/>
      </c>
      <c r="B88" s="139" t="str">
        <f>IF(E88="","",VLOOKUP('Opći dio'!$C$3,'Opći dio'!$L$6:$U$136,9,FALSE))</f>
        <v/>
      </c>
      <c r="C88" s="187" t="str">
        <f t="shared" si="8"/>
        <v/>
      </c>
      <c r="D88" s="138" t="str">
        <f t="shared" si="9"/>
        <v/>
      </c>
      <c r="E88" s="150"/>
      <c r="F88" s="191" t="str">
        <f t="shared" si="10"/>
        <v/>
      </c>
      <c r="G88" s="185"/>
      <c r="H88" s="185"/>
      <c r="I88" s="185"/>
      <c r="K88" s="141" t="str">
        <f t="shared" si="11"/>
        <v/>
      </c>
      <c r="L88" s="141" t="str">
        <f t="shared" si="12"/>
        <v/>
      </c>
      <c r="Q88" s="6">
        <v>723110071</v>
      </c>
      <c r="R88" s="6" t="s">
        <v>258</v>
      </c>
      <c r="S88" s="6">
        <v>71</v>
      </c>
      <c r="T88" s="6" t="s">
        <v>2112</v>
      </c>
      <c r="U88">
        <v>723</v>
      </c>
    </row>
    <row r="89" spans="1:21">
      <c r="A89" s="139" t="str">
        <f>IF(E89="","",VLOOKUP('Opći dio'!$C$3,'Opći dio'!$L$6:$U$136,10,FALSE))</f>
        <v/>
      </c>
      <c r="B89" s="139" t="str">
        <f>IF(E89="","",VLOOKUP('Opći dio'!$C$3,'Opći dio'!$L$6:$U$136,9,FALSE))</f>
        <v/>
      </c>
      <c r="C89" s="187" t="str">
        <f t="shared" si="8"/>
        <v/>
      </c>
      <c r="D89" s="138" t="str">
        <f t="shared" si="9"/>
        <v/>
      </c>
      <c r="E89" s="150"/>
      <c r="F89" s="191" t="str">
        <f t="shared" si="10"/>
        <v/>
      </c>
      <c r="G89" s="185"/>
      <c r="H89" s="185"/>
      <c r="I89" s="185"/>
      <c r="K89" s="141" t="str">
        <f t="shared" si="11"/>
        <v/>
      </c>
      <c r="L89" s="141" t="str">
        <f t="shared" si="12"/>
        <v/>
      </c>
      <c r="Q89" s="6">
        <v>723130071</v>
      </c>
      <c r="R89" s="6" t="s">
        <v>2115</v>
      </c>
      <c r="S89" s="6">
        <v>71</v>
      </c>
      <c r="T89" s="6" t="s">
        <v>2112</v>
      </c>
      <c r="U89">
        <v>723</v>
      </c>
    </row>
    <row r="90" spans="1:21">
      <c r="A90" s="139" t="str">
        <f>IF(E90="","",VLOOKUP('Opći dio'!$C$3,'Opći dio'!$L$6:$U$136,10,FALSE))</f>
        <v/>
      </c>
      <c r="B90" s="139" t="str">
        <f>IF(E90="","",VLOOKUP('Opći dio'!$C$3,'Opći dio'!$L$6:$U$136,9,FALSE))</f>
        <v/>
      </c>
      <c r="C90" s="187" t="str">
        <f t="shared" si="8"/>
        <v/>
      </c>
      <c r="D90" s="138" t="str">
        <f t="shared" si="9"/>
        <v/>
      </c>
      <c r="E90" s="150"/>
      <c r="F90" s="191" t="str">
        <f t="shared" si="10"/>
        <v/>
      </c>
      <c r="G90" s="185"/>
      <c r="H90" s="185"/>
      <c r="I90" s="185"/>
      <c r="K90" s="141" t="str">
        <f t="shared" si="11"/>
        <v/>
      </c>
      <c r="L90" s="141" t="str">
        <f t="shared" si="12"/>
        <v/>
      </c>
      <c r="Q90" s="6">
        <v>723140071</v>
      </c>
      <c r="R90" s="6" t="s">
        <v>2116</v>
      </c>
      <c r="S90" s="6">
        <v>71</v>
      </c>
      <c r="T90" s="6" t="s">
        <v>2112</v>
      </c>
      <c r="U90">
        <v>723</v>
      </c>
    </row>
    <row r="91" spans="1:21">
      <c r="A91" s="139" t="str">
        <f>IF(E91="","",VLOOKUP('Opći dio'!$C$3,'Opći dio'!$L$6:$U$136,10,FALSE))</f>
        <v/>
      </c>
      <c r="B91" s="139" t="str">
        <f>IF(E91="","",VLOOKUP('Opći dio'!$C$3,'Opći dio'!$L$6:$U$136,9,FALSE))</f>
        <v/>
      </c>
      <c r="C91" s="187" t="str">
        <f t="shared" si="8"/>
        <v/>
      </c>
      <c r="D91" s="138" t="str">
        <f t="shared" si="9"/>
        <v/>
      </c>
      <c r="E91" s="150"/>
      <c r="F91" s="191" t="str">
        <f t="shared" si="10"/>
        <v/>
      </c>
      <c r="G91" s="185"/>
      <c r="H91" s="185"/>
      <c r="I91" s="185"/>
      <c r="K91" s="141" t="str">
        <f t="shared" si="11"/>
        <v/>
      </c>
      <c r="L91" s="141" t="str">
        <f t="shared" si="12"/>
        <v/>
      </c>
      <c r="Q91" s="6">
        <v>723150071</v>
      </c>
      <c r="R91" s="6" t="s">
        <v>2117</v>
      </c>
      <c r="S91" s="6">
        <v>71</v>
      </c>
      <c r="T91" s="6" t="s">
        <v>2112</v>
      </c>
      <c r="U91">
        <v>723</v>
      </c>
    </row>
    <row r="92" spans="1:21">
      <c r="A92" s="139" t="str">
        <f>IF(E92="","",VLOOKUP('Opći dio'!$C$3,'Opći dio'!$L$6:$U$136,10,FALSE))</f>
        <v/>
      </c>
      <c r="B92" s="139" t="str">
        <f>IF(E92="","",VLOOKUP('Opći dio'!$C$3,'Opći dio'!$L$6:$U$136,9,FALSE))</f>
        <v/>
      </c>
      <c r="C92" s="187" t="str">
        <f t="shared" si="8"/>
        <v/>
      </c>
      <c r="D92" s="138" t="str">
        <f t="shared" si="9"/>
        <v/>
      </c>
      <c r="E92" s="150"/>
      <c r="F92" s="191" t="str">
        <f t="shared" si="10"/>
        <v/>
      </c>
      <c r="G92" s="185"/>
      <c r="H92" s="185"/>
      <c r="I92" s="185"/>
      <c r="K92" s="141" t="str">
        <f t="shared" si="11"/>
        <v/>
      </c>
      <c r="L92" s="141" t="str">
        <f t="shared" si="12"/>
        <v/>
      </c>
      <c r="Q92" s="6">
        <v>723160071</v>
      </c>
      <c r="R92" s="6" t="s">
        <v>2118</v>
      </c>
      <c r="S92" s="6">
        <v>71</v>
      </c>
      <c r="T92" s="6" t="s">
        <v>2112</v>
      </c>
      <c r="U92">
        <v>723</v>
      </c>
    </row>
    <row r="93" spans="1:21">
      <c r="A93" s="139" t="str">
        <f>IF(E93="","",VLOOKUP('Opći dio'!$C$3,'Opći dio'!$L$6:$U$136,10,FALSE))</f>
        <v/>
      </c>
      <c r="B93" s="139" t="str">
        <f>IF(E93="","",VLOOKUP('Opći dio'!$C$3,'Opći dio'!$L$6:$U$136,9,FALSE))</f>
        <v/>
      </c>
      <c r="C93" s="187" t="str">
        <f t="shared" si="8"/>
        <v/>
      </c>
      <c r="D93" s="138" t="str">
        <f t="shared" si="9"/>
        <v/>
      </c>
      <c r="E93" s="150"/>
      <c r="F93" s="191" t="str">
        <f t="shared" si="10"/>
        <v/>
      </c>
      <c r="G93" s="185"/>
      <c r="H93" s="185"/>
      <c r="I93" s="185"/>
      <c r="K93" s="141" t="str">
        <f t="shared" si="11"/>
        <v/>
      </c>
      <c r="L93" s="141" t="str">
        <f t="shared" si="12"/>
        <v/>
      </c>
      <c r="Q93" s="6">
        <v>723310071</v>
      </c>
      <c r="R93" s="6" t="s">
        <v>2119</v>
      </c>
      <c r="S93" s="6">
        <v>71</v>
      </c>
      <c r="T93" s="6" t="s">
        <v>2112</v>
      </c>
      <c r="U93">
        <v>723</v>
      </c>
    </row>
    <row r="94" spans="1:21">
      <c r="A94" s="139" t="str">
        <f>IF(E94="","",VLOOKUP('Opći dio'!$C$3,'Opći dio'!$L$6:$U$136,10,FALSE))</f>
        <v/>
      </c>
      <c r="B94" s="139" t="str">
        <f>IF(E94="","",VLOOKUP('Opći dio'!$C$3,'Opći dio'!$L$6:$U$136,9,FALSE))</f>
        <v/>
      </c>
      <c r="C94" s="187" t="str">
        <f t="shared" si="8"/>
        <v/>
      </c>
      <c r="D94" s="138" t="str">
        <f t="shared" si="9"/>
        <v/>
      </c>
      <c r="E94" s="150"/>
      <c r="F94" s="191" t="str">
        <f t="shared" si="10"/>
        <v/>
      </c>
      <c r="G94" s="185"/>
      <c r="H94" s="185"/>
      <c r="I94" s="185"/>
      <c r="K94" s="141" t="str">
        <f t="shared" si="11"/>
        <v/>
      </c>
      <c r="L94" s="141" t="str">
        <f t="shared" si="12"/>
        <v/>
      </c>
      <c r="Q94" s="6">
        <v>725210071</v>
      </c>
      <c r="R94" s="6" t="s">
        <v>259</v>
      </c>
      <c r="S94" s="6">
        <v>71</v>
      </c>
      <c r="T94" s="6" t="s">
        <v>2112</v>
      </c>
      <c r="U94">
        <v>725</v>
      </c>
    </row>
    <row r="95" spans="1:21">
      <c r="A95" s="139" t="str">
        <f>IF(E95="","",VLOOKUP('Opći dio'!$C$3,'Opći dio'!$L$6:$U$136,10,FALSE))</f>
        <v/>
      </c>
      <c r="B95" s="139" t="str">
        <f>IF(E95="","",VLOOKUP('Opći dio'!$C$3,'Opći dio'!$L$6:$U$136,9,FALSE))</f>
        <v/>
      </c>
      <c r="C95" s="187" t="str">
        <f t="shared" si="8"/>
        <v/>
      </c>
      <c r="D95" s="138" t="str">
        <f t="shared" si="9"/>
        <v/>
      </c>
      <c r="E95" s="150"/>
      <c r="F95" s="191" t="str">
        <f t="shared" si="10"/>
        <v/>
      </c>
      <c r="G95" s="185"/>
      <c r="H95" s="185"/>
      <c r="I95" s="185"/>
      <c r="K95" s="141" t="str">
        <f t="shared" si="11"/>
        <v/>
      </c>
      <c r="L95" s="141" t="str">
        <f t="shared" si="12"/>
        <v/>
      </c>
      <c r="Q95" s="6">
        <v>812150000</v>
      </c>
      <c r="R95" s="6" t="s">
        <v>2120</v>
      </c>
      <c r="S95" s="6">
        <v>81</v>
      </c>
      <c r="T95" s="6" t="s">
        <v>2121</v>
      </c>
      <c r="U95">
        <v>812</v>
      </c>
    </row>
    <row r="96" spans="1:21">
      <c r="A96" s="139" t="str">
        <f>IF(E96="","",VLOOKUP('Opći dio'!$C$3,'Opći dio'!$L$6:$U$136,10,FALSE))</f>
        <v/>
      </c>
      <c r="B96" s="139" t="str">
        <f>IF(E96="","",VLOOKUP('Opći dio'!$C$3,'Opći dio'!$L$6:$U$136,9,FALSE))</f>
        <v/>
      </c>
      <c r="C96" s="187" t="str">
        <f t="shared" si="8"/>
        <v/>
      </c>
      <c r="D96" s="138" t="str">
        <f t="shared" si="9"/>
        <v/>
      </c>
      <c r="E96" s="150"/>
      <c r="F96" s="191" t="str">
        <f t="shared" si="10"/>
        <v/>
      </c>
      <c r="G96" s="185"/>
      <c r="H96" s="185"/>
      <c r="I96" s="185"/>
      <c r="K96" s="141" t="str">
        <f t="shared" si="11"/>
        <v/>
      </c>
      <c r="L96" s="141" t="str">
        <f t="shared" si="12"/>
        <v/>
      </c>
      <c r="Q96" s="6">
        <v>818120043</v>
      </c>
      <c r="R96" s="6" t="s">
        <v>1556</v>
      </c>
      <c r="S96" s="6">
        <v>43</v>
      </c>
      <c r="T96" s="6" t="s">
        <v>103</v>
      </c>
      <c r="U96">
        <v>818</v>
      </c>
    </row>
    <row r="97" spans="1:21">
      <c r="A97" s="139" t="str">
        <f>IF(E97="","",VLOOKUP('Opći dio'!$C$3,'Opći dio'!$L$6:$U$136,10,FALSE))</f>
        <v/>
      </c>
      <c r="B97" s="139" t="str">
        <f>IF(E97="","",VLOOKUP('Opći dio'!$C$3,'Opći dio'!$L$6:$U$136,9,FALSE))</f>
        <v/>
      </c>
      <c r="C97" s="187" t="str">
        <f t="shared" si="8"/>
        <v/>
      </c>
      <c r="D97" s="138" t="str">
        <f t="shared" si="9"/>
        <v/>
      </c>
      <c r="E97" s="150"/>
      <c r="F97" s="191" t="str">
        <f t="shared" si="10"/>
        <v/>
      </c>
      <c r="G97" s="185"/>
      <c r="H97" s="185"/>
      <c r="I97" s="185"/>
      <c r="K97" s="141" t="str">
        <f t="shared" si="11"/>
        <v/>
      </c>
      <c r="L97" s="141" t="str">
        <f t="shared" si="12"/>
        <v/>
      </c>
      <c r="Q97" s="6">
        <v>832120043</v>
      </c>
      <c r="R97" s="6" t="s">
        <v>1557</v>
      </c>
      <c r="S97" s="6">
        <v>43</v>
      </c>
      <c r="T97" s="6" t="s">
        <v>103</v>
      </c>
      <c r="U97">
        <v>832</v>
      </c>
    </row>
    <row r="98" spans="1:21">
      <c r="A98" s="139" t="str">
        <f>IF(E98="","",VLOOKUP('Opći dio'!$C$3,'Opći dio'!$L$6:$U$136,10,FALSE))</f>
        <v/>
      </c>
      <c r="B98" s="139" t="str">
        <f>IF(E98="","",VLOOKUP('Opći dio'!$C$3,'Opći dio'!$L$6:$U$136,9,FALSE))</f>
        <v/>
      </c>
      <c r="C98" s="187" t="str">
        <f t="shared" si="8"/>
        <v/>
      </c>
      <c r="D98" s="138" t="str">
        <f t="shared" si="9"/>
        <v/>
      </c>
      <c r="E98" s="150"/>
      <c r="F98" s="191" t="str">
        <f t="shared" si="10"/>
        <v/>
      </c>
      <c r="G98" s="185"/>
      <c r="H98" s="185"/>
      <c r="I98" s="185"/>
      <c r="K98" s="141" t="str">
        <f t="shared" si="11"/>
        <v/>
      </c>
      <c r="L98" s="141" t="str">
        <f t="shared" si="12"/>
        <v/>
      </c>
      <c r="Q98" s="6">
        <v>833130043</v>
      </c>
      <c r="R98" s="6" t="s">
        <v>2122</v>
      </c>
      <c r="S98" s="6">
        <v>43</v>
      </c>
      <c r="T98" s="6" t="s">
        <v>103</v>
      </c>
      <c r="U98">
        <v>833</v>
      </c>
    </row>
    <row r="99" spans="1:21">
      <c r="A99" s="139" t="str">
        <f>IF(E99="","",VLOOKUP('Opći dio'!$C$3,'Opći dio'!$L$6:$U$136,10,FALSE))</f>
        <v/>
      </c>
      <c r="B99" s="139" t="str">
        <f>IF(E99="","",VLOOKUP('Opći dio'!$C$3,'Opći dio'!$L$6:$U$136,9,FALSE))</f>
        <v/>
      </c>
      <c r="C99" s="187" t="str">
        <f t="shared" si="8"/>
        <v/>
      </c>
      <c r="D99" s="138" t="str">
        <f t="shared" si="9"/>
        <v/>
      </c>
      <c r="E99" s="150"/>
      <c r="F99" s="191" t="str">
        <f t="shared" si="10"/>
        <v/>
      </c>
      <c r="G99" s="185"/>
      <c r="H99" s="185"/>
      <c r="I99" s="185"/>
      <c r="K99" s="141" t="str">
        <f t="shared" si="11"/>
        <v/>
      </c>
      <c r="L99" s="141" t="str">
        <f t="shared" si="12"/>
        <v/>
      </c>
      <c r="Q99" s="6">
        <v>841320133</v>
      </c>
      <c r="R99" s="6" t="s">
        <v>1558</v>
      </c>
      <c r="S99" s="6">
        <v>83</v>
      </c>
      <c r="T99" s="6" t="s">
        <v>1540</v>
      </c>
      <c r="U99">
        <v>841</v>
      </c>
    </row>
    <row r="100" spans="1:21">
      <c r="A100" s="139" t="str">
        <f>IF(E100="","",VLOOKUP('Opći dio'!$C$3,'Opći dio'!$L$6:$U$136,10,FALSE))</f>
        <v/>
      </c>
      <c r="B100" s="139" t="str">
        <f>IF(E100="","",VLOOKUP('Opći dio'!$C$3,'Opći dio'!$L$6:$U$136,9,FALSE))</f>
        <v/>
      </c>
      <c r="C100" s="187" t="str">
        <f t="shared" si="8"/>
        <v/>
      </c>
      <c r="D100" s="138" t="str">
        <f t="shared" si="9"/>
        <v/>
      </c>
      <c r="E100" s="150"/>
      <c r="F100" s="191" t="str">
        <f t="shared" si="10"/>
        <v/>
      </c>
      <c r="G100" s="185"/>
      <c r="H100" s="185"/>
      <c r="I100" s="185"/>
      <c r="K100" s="141" t="str">
        <f t="shared" si="11"/>
        <v/>
      </c>
      <c r="L100" s="141" t="str">
        <f t="shared" si="12"/>
        <v/>
      </c>
      <c r="Q100" s="6">
        <v>841320135</v>
      </c>
      <c r="R100" s="6" t="s">
        <v>1559</v>
      </c>
      <c r="S100" s="6">
        <v>83</v>
      </c>
      <c r="T100" s="6" t="s">
        <v>1540</v>
      </c>
      <c r="U100">
        <v>841</v>
      </c>
    </row>
    <row r="101" spans="1:21">
      <c r="A101" s="139" t="str">
        <f>IF(E101="","",VLOOKUP('Opći dio'!$C$3,'Opći dio'!$L$6:$U$136,10,FALSE))</f>
        <v/>
      </c>
      <c r="B101" s="139" t="str">
        <f>IF(E101="","",VLOOKUP('Opći dio'!$C$3,'Opći dio'!$L$6:$U$136,9,FALSE))</f>
        <v/>
      </c>
      <c r="C101" s="187" t="str">
        <f t="shared" si="8"/>
        <v/>
      </c>
      <c r="D101" s="138" t="str">
        <f t="shared" si="9"/>
        <v/>
      </c>
      <c r="E101" s="150"/>
      <c r="F101" s="191" t="str">
        <f t="shared" si="10"/>
        <v/>
      </c>
      <c r="G101" s="185"/>
      <c r="H101" s="185"/>
      <c r="I101" s="185"/>
      <c r="K101" s="141" t="str">
        <f t="shared" si="11"/>
        <v/>
      </c>
      <c r="L101" s="141" t="str">
        <f t="shared" si="12"/>
        <v/>
      </c>
      <c r="Q101" s="6">
        <v>842220081</v>
      </c>
      <c r="R101" s="6" t="s">
        <v>2123</v>
      </c>
      <c r="S101" s="6">
        <v>81</v>
      </c>
      <c r="T101" s="6" t="s">
        <v>2121</v>
      </c>
      <c r="U101">
        <v>842</v>
      </c>
    </row>
    <row r="102" spans="1:21">
      <c r="A102" s="139" t="str">
        <f>IF(E102="","",VLOOKUP('Opći dio'!$C$3,'Opći dio'!$L$6:$U$136,10,FALSE))</f>
        <v/>
      </c>
      <c r="B102" s="139" t="str">
        <f>IF(E102="","",VLOOKUP('Opći dio'!$C$3,'Opći dio'!$L$6:$U$136,9,FALSE))</f>
        <v/>
      </c>
      <c r="C102" s="187" t="str">
        <f t="shared" si="8"/>
        <v/>
      </c>
      <c r="D102" s="138" t="str">
        <f t="shared" si="9"/>
        <v/>
      </c>
      <c r="E102" s="150"/>
      <c r="F102" s="191" t="str">
        <f t="shared" si="10"/>
        <v/>
      </c>
      <c r="G102" s="185"/>
      <c r="H102" s="185"/>
      <c r="I102" s="185"/>
      <c r="K102" s="141" t="str">
        <f t="shared" si="11"/>
        <v/>
      </c>
      <c r="L102" s="141" t="str">
        <f t="shared" si="12"/>
        <v/>
      </c>
      <c r="Q102" s="6">
        <v>632310561</v>
      </c>
      <c r="R102" s="6" t="s">
        <v>118</v>
      </c>
      <c r="S102" s="6">
        <v>561</v>
      </c>
      <c r="T102" s="6" t="s">
        <v>118</v>
      </c>
      <c r="U102">
        <v>632</v>
      </c>
    </row>
    <row r="103" spans="1:21">
      <c r="A103" s="139" t="str">
        <f>IF(E103="","",VLOOKUP('Opći dio'!$C$3,'Opći dio'!$L$6:$U$136,10,FALSE))</f>
        <v/>
      </c>
      <c r="B103" s="139" t="str">
        <f>IF(E103="","",VLOOKUP('Opći dio'!$C$3,'Opći dio'!$L$6:$U$136,9,FALSE))</f>
        <v/>
      </c>
      <c r="C103" s="187" t="str">
        <f t="shared" si="8"/>
        <v/>
      </c>
      <c r="D103" s="138" t="str">
        <f t="shared" si="9"/>
        <v/>
      </c>
      <c r="E103" s="150"/>
      <c r="F103" s="191" t="str">
        <f t="shared" si="10"/>
        <v/>
      </c>
      <c r="G103" s="185"/>
      <c r="H103" s="185"/>
      <c r="I103" s="185"/>
      <c r="K103" s="141" t="str">
        <f t="shared" si="11"/>
        <v/>
      </c>
      <c r="L103" s="141" t="str">
        <f t="shared" si="12"/>
        <v/>
      </c>
      <c r="Q103" s="6">
        <v>632310563</v>
      </c>
      <c r="R103" s="6" t="s">
        <v>2331</v>
      </c>
      <c r="S103" s="6">
        <v>563</v>
      </c>
      <c r="T103" s="6" t="s">
        <v>120</v>
      </c>
      <c r="U103">
        <v>632</v>
      </c>
    </row>
    <row r="104" spans="1:21">
      <c r="A104" s="139" t="str">
        <f>IF(E104="","",VLOOKUP('Opći dio'!$C$3,'Opći dio'!$L$6:$U$136,10,FALSE))</f>
        <v/>
      </c>
      <c r="B104" s="139" t="str">
        <f>IF(E104="","",VLOOKUP('Opći dio'!$C$3,'Opći dio'!$L$6:$U$136,9,FALSE))</f>
        <v/>
      </c>
      <c r="C104" s="187" t="str">
        <f t="shared" si="8"/>
        <v/>
      </c>
      <c r="D104" s="138" t="str">
        <f t="shared" si="9"/>
        <v/>
      </c>
      <c r="E104" s="150"/>
      <c r="F104" s="191" t="str">
        <f t="shared" si="10"/>
        <v/>
      </c>
      <c r="G104" s="185"/>
      <c r="H104" s="185"/>
      <c r="I104" s="185"/>
      <c r="K104" s="141" t="str">
        <f t="shared" si="11"/>
        <v/>
      </c>
      <c r="L104" s="141" t="str">
        <f t="shared" si="12"/>
        <v/>
      </c>
      <c r="Q104" s="6">
        <v>632410561</v>
      </c>
      <c r="R104" s="6" t="s">
        <v>118</v>
      </c>
      <c r="S104" s="6">
        <v>561</v>
      </c>
      <c r="T104" s="6" t="s">
        <v>118</v>
      </c>
      <c r="U104">
        <v>632</v>
      </c>
    </row>
    <row r="105" spans="1:21">
      <c r="A105" s="139" t="str">
        <f>IF(E105="","",VLOOKUP('Opći dio'!$C$3,'Opći dio'!$L$6:$U$136,10,FALSE))</f>
        <v/>
      </c>
      <c r="B105" s="139" t="str">
        <f>IF(E105="","",VLOOKUP('Opći dio'!$C$3,'Opći dio'!$L$6:$U$136,9,FALSE))</f>
        <v/>
      </c>
      <c r="C105" s="187" t="str">
        <f t="shared" si="8"/>
        <v/>
      </c>
      <c r="D105" s="138" t="str">
        <f t="shared" si="9"/>
        <v/>
      </c>
      <c r="E105" s="150"/>
      <c r="F105" s="191" t="str">
        <f t="shared" si="10"/>
        <v/>
      </c>
      <c r="G105" s="185"/>
      <c r="H105" s="185"/>
      <c r="I105" s="185"/>
      <c r="K105" s="141" t="str">
        <f t="shared" si="11"/>
        <v/>
      </c>
      <c r="L105" s="141" t="str">
        <f t="shared" si="12"/>
        <v/>
      </c>
      <c r="Q105" s="6">
        <v>632410563</v>
      </c>
      <c r="R105" s="6" t="s">
        <v>2331</v>
      </c>
      <c r="S105" s="6">
        <v>563</v>
      </c>
      <c r="T105" s="6" t="s">
        <v>120</v>
      </c>
      <c r="U105">
        <v>632</v>
      </c>
    </row>
    <row r="106" spans="1:21">
      <c r="A106" s="139" t="str">
        <f>IF(E106="","",VLOOKUP('Opći dio'!$C$3,'Opći dio'!$L$6:$U$136,10,FALSE))</f>
        <v/>
      </c>
      <c r="B106" s="139" t="str">
        <f>IF(E106="","",VLOOKUP('Opći dio'!$C$3,'Opći dio'!$L$6:$U$136,9,FALSE))</f>
        <v/>
      </c>
      <c r="C106" s="187" t="str">
        <f t="shared" si="8"/>
        <v/>
      </c>
      <c r="D106" s="138" t="str">
        <f t="shared" si="9"/>
        <v/>
      </c>
      <c r="E106" s="150"/>
      <c r="F106" s="191" t="str">
        <f t="shared" si="10"/>
        <v/>
      </c>
      <c r="G106" s="185"/>
      <c r="H106" s="185"/>
      <c r="I106" s="185"/>
      <c r="K106" s="141" t="str">
        <f t="shared" si="11"/>
        <v/>
      </c>
      <c r="L106" s="141" t="str">
        <f t="shared" si="12"/>
        <v/>
      </c>
    </row>
    <row r="107" spans="1:21">
      <c r="A107" s="139" t="str">
        <f>IF(E107="","",VLOOKUP('Opći dio'!$C$3,'Opći dio'!$L$6:$U$136,10,FALSE))</f>
        <v/>
      </c>
      <c r="B107" s="139" t="str">
        <f>IF(E107="","",VLOOKUP('Opći dio'!$C$3,'Opći dio'!$L$6:$U$136,9,FALSE))</f>
        <v/>
      </c>
      <c r="C107" s="187" t="str">
        <f t="shared" si="8"/>
        <v/>
      </c>
      <c r="D107" s="138" t="str">
        <f t="shared" si="9"/>
        <v/>
      </c>
      <c r="E107" s="150"/>
      <c r="F107" s="191" t="str">
        <f t="shared" si="10"/>
        <v/>
      </c>
      <c r="G107" s="185"/>
      <c r="H107" s="185"/>
      <c r="I107" s="185"/>
      <c r="K107" s="141" t="str">
        <f t="shared" si="11"/>
        <v/>
      </c>
      <c r="L107" s="141" t="str">
        <f t="shared" si="12"/>
        <v/>
      </c>
    </row>
    <row r="108" spans="1:21">
      <c r="A108" s="139" t="str">
        <f>IF(E108="","",VLOOKUP('Opći dio'!$C$3,'Opći dio'!$L$6:$U$136,10,FALSE))</f>
        <v/>
      </c>
      <c r="B108" s="139" t="str">
        <f>IF(E108="","",VLOOKUP('Opći dio'!$C$3,'Opći dio'!$L$6:$U$136,9,FALSE))</f>
        <v/>
      </c>
      <c r="C108" s="187" t="str">
        <f t="shared" si="8"/>
        <v/>
      </c>
      <c r="D108" s="138" t="str">
        <f t="shared" si="9"/>
        <v/>
      </c>
      <c r="E108" s="150"/>
      <c r="F108" s="191" t="str">
        <f t="shared" si="10"/>
        <v/>
      </c>
      <c r="G108" s="185"/>
      <c r="H108" s="185"/>
      <c r="I108" s="185"/>
      <c r="K108" s="141" t="str">
        <f t="shared" si="11"/>
        <v/>
      </c>
      <c r="L108" s="141" t="str">
        <f t="shared" si="12"/>
        <v/>
      </c>
    </row>
    <row r="109" spans="1:21">
      <c r="A109" s="139" t="str">
        <f>IF(E109="","",VLOOKUP('Opći dio'!$C$3,'Opći dio'!$L$6:$U$136,10,FALSE))</f>
        <v/>
      </c>
      <c r="B109" s="139" t="str">
        <f>IF(E109="","",VLOOKUP('Opći dio'!$C$3,'Opći dio'!$L$6:$U$136,9,FALSE))</f>
        <v/>
      </c>
      <c r="C109" s="187" t="str">
        <f t="shared" si="8"/>
        <v/>
      </c>
      <c r="D109" s="138" t="str">
        <f t="shared" si="9"/>
        <v/>
      </c>
      <c r="E109" s="150"/>
      <c r="F109" s="191" t="str">
        <f t="shared" si="10"/>
        <v/>
      </c>
      <c r="G109" s="185"/>
      <c r="H109" s="185"/>
      <c r="I109" s="185"/>
      <c r="K109" s="141" t="str">
        <f t="shared" si="11"/>
        <v/>
      </c>
      <c r="L109" s="141" t="str">
        <f t="shared" si="12"/>
        <v/>
      </c>
    </row>
    <row r="110" spans="1:21">
      <c r="A110" s="139" t="str">
        <f>IF(E110="","",VLOOKUP('Opći dio'!$C$3,'Opći dio'!$L$6:$U$136,10,FALSE))</f>
        <v/>
      </c>
      <c r="B110" s="139" t="str">
        <f>IF(E110="","",VLOOKUP('Opći dio'!$C$3,'Opći dio'!$L$6:$U$136,9,FALSE))</f>
        <v/>
      </c>
      <c r="C110" s="187" t="str">
        <f t="shared" si="8"/>
        <v/>
      </c>
      <c r="D110" s="138" t="str">
        <f t="shared" si="9"/>
        <v/>
      </c>
      <c r="E110" s="150"/>
      <c r="F110" s="191" t="str">
        <f t="shared" si="10"/>
        <v/>
      </c>
      <c r="G110" s="185"/>
      <c r="H110" s="185"/>
      <c r="I110" s="185"/>
      <c r="K110" s="141" t="str">
        <f t="shared" si="11"/>
        <v/>
      </c>
      <c r="L110" s="141" t="str">
        <f t="shared" si="12"/>
        <v/>
      </c>
    </row>
    <row r="111" spans="1:21">
      <c r="A111" s="139" t="str">
        <f>IF(E111="","",VLOOKUP('Opći dio'!$C$3,'Opći dio'!$L$6:$U$136,10,FALSE))</f>
        <v/>
      </c>
      <c r="B111" s="139" t="str">
        <f>IF(E111="","",VLOOKUP('Opći dio'!$C$3,'Opći dio'!$L$6:$U$136,9,FALSE))</f>
        <v/>
      </c>
      <c r="C111" s="187" t="str">
        <f t="shared" si="8"/>
        <v/>
      </c>
      <c r="D111" s="138" t="str">
        <f t="shared" si="9"/>
        <v/>
      </c>
      <c r="E111" s="150"/>
      <c r="F111" s="191" t="str">
        <f t="shared" si="10"/>
        <v/>
      </c>
      <c r="G111" s="185"/>
      <c r="H111" s="185"/>
      <c r="I111" s="185"/>
      <c r="K111" s="141" t="str">
        <f t="shared" si="11"/>
        <v/>
      </c>
      <c r="L111" s="141" t="str">
        <f t="shared" si="12"/>
        <v/>
      </c>
    </row>
    <row r="112" spans="1:21">
      <c r="A112" s="139" t="str">
        <f>IF(E112="","",VLOOKUP('Opći dio'!$C$3,'Opći dio'!$L$6:$U$136,10,FALSE))</f>
        <v/>
      </c>
      <c r="B112" s="139" t="str">
        <f>IF(E112="","",VLOOKUP('Opći dio'!$C$3,'Opći dio'!$L$6:$U$136,9,FALSE))</f>
        <v/>
      </c>
      <c r="C112" s="187" t="str">
        <f t="shared" si="8"/>
        <v/>
      </c>
      <c r="D112" s="138" t="str">
        <f t="shared" si="9"/>
        <v/>
      </c>
      <c r="E112" s="150"/>
      <c r="F112" s="191" t="str">
        <f t="shared" si="10"/>
        <v/>
      </c>
      <c r="G112" s="185"/>
      <c r="H112" s="185"/>
      <c r="I112" s="185"/>
      <c r="K112" s="141" t="str">
        <f t="shared" si="11"/>
        <v/>
      </c>
      <c r="L112" s="141" t="str">
        <f t="shared" si="12"/>
        <v/>
      </c>
    </row>
    <row r="113" spans="1:12">
      <c r="A113" s="139" t="str">
        <f>IF(E113="","",VLOOKUP('Opći dio'!$C$3,'Opći dio'!$L$6:$U$136,10,FALSE))</f>
        <v/>
      </c>
      <c r="B113" s="139" t="str">
        <f>IF(E113="","",VLOOKUP('Opći dio'!$C$3,'Opći dio'!$L$6:$U$136,9,FALSE))</f>
        <v/>
      </c>
      <c r="C113" s="187" t="str">
        <f t="shared" si="8"/>
        <v/>
      </c>
      <c r="D113" s="138" t="str">
        <f t="shared" si="9"/>
        <v/>
      </c>
      <c r="E113" s="150"/>
      <c r="F113" s="191" t="str">
        <f t="shared" si="10"/>
        <v/>
      </c>
      <c r="G113" s="185"/>
      <c r="H113" s="185"/>
      <c r="I113" s="185"/>
      <c r="K113" s="141" t="str">
        <f t="shared" si="11"/>
        <v/>
      </c>
      <c r="L113" s="141" t="str">
        <f t="shared" si="12"/>
        <v/>
      </c>
    </row>
    <row r="114" spans="1:12">
      <c r="A114" s="139" t="str">
        <f>IF(E114="","",VLOOKUP('Opći dio'!$C$3,'Opći dio'!$L$6:$U$136,10,FALSE))</f>
        <v/>
      </c>
      <c r="B114" s="139" t="str">
        <f>IF(E114="","",VLOOKUP('Opći dio'!$C$3,'Opći dio'!$L$6:$U$136,9,FALSE))</f>
        <v/>
      </c>
      <c r="C114" s="187" t="str">
        <f t="shared" si="8"/>
        <v/>
      </c>
      <c r="D114" s="138" t="str">
        <f t="shared" si="9"/>
        <v/>
      </c>
      <c r="E114" s="150"/>
      <c r="F114" s="191" t="str">
        <f t="shared" si="10"/>
        <v/>
      </c>
      <c r="G114" s="185"/>
      <c r="H114" s="185"/>
      <c r="I114" s="185"/>
      <c r="K114" s="141" t="str">
        <f t="shared" si="11"/>
        <v/>
      </c>
      <c r="L114" s="141" t="str">
        <f t="shared" si="12"/>
        <v/>
      </c>
    </row>
    <row r="115" spans="1:12">
      <c r="A115" s="139" t="str">
        <f>IF(E115="","",VLOOKUP('Opći dio'!$C$3,'Opći dio'!$L$6:$U$136,10,FALSE))</f>
        <v/>
      </c>
      <c r="B115" s="139" t="str">
        <f>IF(E115="","",VLOOKUP('Opći dio'!$C$3,'Opći dio'!$L$6:$U$136,9,FALSE))</f>
        <v/>
      </c>
      <c r="C115" s="187" t="str">
        <f t="shared" si="8"/>
        <v/>
      </c>
      <c r="D115" s="138" t="str">
        <f t="shared" si="9"/>
        <v/>
      </c>
      <c r="E115" s="150"/>
      <c r="F115" s="191" t="str">
        <f t="shared" si="10"/>
        <v/>
      </c>
      <c r="G115" s="185"/>
      <c r="H115" s="185"/>
      <c r="I115" s="185"/>
      <c r="K115" s="141" t="str">
        <f t="shared" si="11"/>
        <v/>
      </c>
      <c r="L115" s="141" t="str">
        <f t="shared" si="12"/>
        <v/>
      </c>
    </row>
    <row r="116" spans="1:12">
      <c r="A116" s="139" t="str">
        <f>IF(E116="","",VLOOKUP('Opći dio'!$C$3,'Opći dio'!$L$6:$U$136,10,FALSE))</f>
        <v/>
      </c>
      <c r="B116" s="139" t="str">
        <f>IF(E116="","",VLOOKUP('Opći dio'!$C$3,'Opći dio'!$L$6:$U$136,9,FALSE))</f>
        <v/>
      </c>
      <c r="C116" s="187" t="str">
        <f t="shared" si="8"/>
        <v/>
      </c>
      <c r="D116" s="138" t="str">
        <f t="shared" si="9"/>
        <v/>
      </c>
      <c r="E116" s="150"/>
      <c r="F116" s="191" t="str">
        <f t="shared" si="10"/>
        <v/>
      </c>
      <c r="G116" s="185"/>
      <c r="H116" s="185"/>
      <c r="I116" s="185"/>
      <c r="K116" s="141" t="str">
        <f t="shared" si="11"/>
        <v/>
      </c>
      <c r="L116" s="141" t="str">
        <f t="shared" si="12"/>
        <v/>
      </c>
    </row>
    <row r="117" spans="1:12">
      <c r="A117" s="139" t="str">
        <f>IF(E117="","",VLOOKUP('Opći dio'!$C$3,'Opći dio'!$L$6:$U$136,10,FALSE))</f>
        <v/>
      </c>
      <c r="B117" s="139" t="str">
        <f>IF(E117="","",VLOOKUP('Opći dio'!$C$3,'Opći dio'!$L$6:$U$136,9,FALSE))</f>
        <v/>
      </c>
      <c r="C117" s="187" t="str">
        <f t="shared" si="8"/>
        <v/>
      </c>
      <c r="D117" s="138" t="str">
        <f t="shared" si="9"/>
        <v/>
      </c>
      <c r="E117" s="150"/>
      <c r="F117" s="191" t="str">
        <f t="shared" si="10"/>
        <v/>
      </c>
      <c r="G117" s="185"/>
      <c r="H117" s="185"/>
      <c r="I117" s="185"/>
      <c r="K117" s="141" t="str">
        <f t="shared" si="11"/>
        <v/>
      </c>
      <c r="L117" s="141" t="str">
        <f t="shared" si="12"/>
        <v/>
      </c>
    </row>
    <row r="118" spans="1:12">
      <c r="A118" s="139" t="str">
        <f>IF(E118="","",VLOOKUP('Opći dio'!$C$3,'Opći dio'!$L$6:$U$136,10,FALSE))</f>
        <v/>
      </c>
      <c r="B118" s="139" t="str">
        <f>IF(E118="","",VLOOKUP('Opći dio'!$C$3,'Opći dio'!$L$6:$U$136,9,FALSE))</f>
        <v/>
      </c>
      <c r="C118" s="187" t="str">
        <f t="shared" si="8"/>
        <v/>
      </c>
      <c r="D118" s="138" t="str">
        <f t="shared" si="9"/>
        <v/>
      </c>
      <c r="E118" s="150"/>
      <c r="F118" s="191" t="str">
        <f t="shared" si="10"/>
        <v/>
      </c>
      <c r="G118" s="185"/>
      <c r="H118" s="185"/>
      <c r="I118" s="185"/>
      <c r="K118" s="141" t="str">
        <f t="shared" si="11"/>
        <v/>
      </c>
      <c r="L118" s="141" t="str">
        <f t="shared" si="12"/>
        <v/>
      </c>
    </row>
    <row r="119" spans="1:12">
      <c r="A119" s="139" t="str">
        <f>IF(E119="","",VLOOKUP('Opći dio'!$C$3,'Opći dio'!$L$6:$U$136,10,FALSE))</f>
        <v/>
      </c>
      <c r="B119" s="139" t="str">
        <f>IF(E119="","",VLOOKUP('Opći dio'!$C$3,'Opći dio'!$L$6:$U$136,9,FALSE))</f>
        <v/>
      </c>
      <c r="C119" s="187" t="str">
        <f t="shared" si="8"/>
        <v/>
      </c>
      <c r="D119" s="138" t="str">
        <f t="shared" si="9"/>
        <v/>
      </c>
      <c r="E119" s="150"/>
      <c r="F119" s="191" t="str">
        <f t="shared" si="10"/>
        <v/>
      </c>
      <c r="G119" s="185"/>
      <c r="H119" s="185"/>
      <c r="I119" s="185"/>
      <c r="K119" s="141" t="str">
        <f t="shared" si="11"/>
        <v/>
      </c>
      <c r="L119" s="141" t="str">
        <f t="shared" si="12"/>
        <v/>
      </c>
    </row>
    <row r="120" spans="1:12">
      <c r="A120" s="139" t="str">
        <f>IF(E120="","",VLOOKUP('Opći dio'!$C$3,'Opći dio'!$L$6:$U$136,10,FALSE))</f>
        <v/>
      </c>
      <c r="B120" s="139" t="str">
        <f>IF(E120="","",VLOOKUP('Opći dio'!$C$3,'Opći dio'!$L$6:$U$136,9,FALSE))</f>
        <v/>
      </c>
      <c r="C120" s="187" t="str">
        <f t="shared" si="8"/>
        <v/>
      </c>
      <c r="D120" s="138" t="str">
        <f t="shared" si="9"/>
        <v/>
      </c>
      <c r="E120" s="150"/>
      <c r="F120" s="191" t="str">
        <f t="shared" si="10"/>
        <v/>
      </c>
      <c r="G120" s="185"/>
      <c r="H120" s="185"/>
      <c r="I120" s="185"/>
      <c r="K120" s="141" t="str">
        <f t="shared" si="11"/>
        <v/>
      </c>
      <c r="L120" s="141" t="str">
        <f t="shared" si="12"/>
        <v/>
      </c>
    </row>
    <row r="121" spans="1:12">
      <c r="A121" s="139" t="str">
        <f>IF(E121="","",VLOOKUP('Opći dio'!$C$3,'Opći dio'!$L$6:$U$136,10,FALSE))</f>
        <v/>
      </c>
      <c r="B121" s="139" t="str">
        <f>IF(E121="","",VLOOKUP('Opći dio'!$C$3,'Opći dio'!$L$6:$U$136,9,FALSE))</f>
        <v/>
      </c>
      <c r="C121" s="187" t="str">
        <f t="shared" si="8"/>
        <v/>
      </c>
      <c r="D121" s="138" t="str">
        <f t="shared" si="9"/>
        <v/>
      </c>
      <c r="E121" s="150"/>
      <c r="F121" s="191" t="str">
        <f t="shared" si="10"/>
        <v/>
      </c>
      <c r="G121" s="185"/>
      <c r="H121" s="185"/>
      <c r="I121" s="185"/>
      <c r="K121" s="141" t="str">
        <f t="shared" si="11"/>
        <v/>
      </c>
      <c r="L121" s="141" t="str">
        <f t="shared" si="12"/>
        <v/>
      </c>
    </row>
    <row r="122" spans="1:12">
      <c r="A122" s="139" t="str">
        <f>IF(E122="","",VLOOKUP('Opći dio'!$C$3,'Opći dio'!$L$6:$U$136,10,FALSE))</f>
        <v/>
      </c>
      <c r="B122" s="139" t="str">
        <f>IF(E122="","",VLOOKUP('Opći dio'!$C$3,'Opći dio'!$L$6:$U$136,9,FALSE))</f>
        <v/>
      </c>
      <c r="C122" s="187" t="str">
        <f t="shared" si="8"/>
        <v/>
      </c>
      <c r="D122" s="138" t="str">
        <f t="shared" si="9"/>
        <v/>
      </c>
      <c r="E122" s="150"/>
      <c r="F122" s="191" t="str">
        <f t="shared" si="10"/>
        <v/>
      </c>
      <c r="G122" s="185"/>
      <c r="H122" s="185"/>
      <c r="I122" s="185"/>
      <c r="K122" s="141" t="str">
        <f t="shared" si="11"/>
        <v/>
      </c>
      <c r="L122" s="141" t="str">
        <f t="shared" si="12"/>
        <v/>
      </c>
    </row>
    <row r="123" spans="1:12">
      <c r="A123" s="139" t="str">
        <f>IF(E123="","",VLOOKUP('Opći dio'!$C$3,'Opći dio'!$L$6:$U$136,10,FALSE))</f>
        <v/>
      </c>
      <c r="B123" s="139" t="str">
        <f>IF(E123="","",VLOOKUP('Opći dio'!$C$3,'Opći dio'!$L$6:$U$136,9,FALSE))</f>
        <v/>
      </c>
      <c r="C123" s="187" t="str">
        <f t="shared" si="8"/>
        <v/>
      </c>
      <c r="D123" s="138" t="str">
        <f t="shared" si="9"/>
        <v/>
      </c>
      <c r="E123" s="150"/>
      <c r="F123" s="191" t="str">
        <f t="shared" si="10"/>
        <v/>
      </c>
      <c r="G123" s="185"/>
      <c r="H123" s="185"/>
      <c r="I123" s="185"/>
      <c r="K123" s="141" t="str">
        <f t="shared" si="11"/>
        <v/>
      </c>
      <c r="L123" s="141" t="str">
        <f t="shared" si="12"/>
        <v/>
      </c>
    </row>
    <row r="124" spans="1:12">
      <c r="A124" s="139" t="str">
        <f>IF(E124="","",VLOOKUP('Opći dio'!$C$3,'Opći dio'!$L$6:$U$136,10,FALSE))</f>
        <v/>
      </c>
      <c r="B124" s="139" t="str">
        <f>IF(E124="","",VLOOKUP('Opći dio'!$C$3,'Opći dio'!$L$6:$U$136,9,FALSE))</f>
        <v/>
      </c>
      <c r="C124" s="187" t="str">
        <f t="shared" si="8"/>
        <v/>
      </c>
      <c r="D124" s="138" t="str">
        <f t="shared" si="9"/>
        <v/>
      </c>
      <c r="E124" s="150"/>
      <c r="F124" s="191" t="str">
        <f t="shared" si="10"/>
        <v/>
      </c>
      <c r="G124" s="185"/>
      <c r="H124" s="185"/>
      <c r="I124" s="185"/>
      <c r="K124" s="141" t="str">
        <f t="shared" si="11"/>
        <v/>
      </c>
      <c r="L124" s="141" t="str">
        <f t="shared" si="12"/>
        <v/>
      </c>
    </row>
    <row r="125" spans="1:12">
      <c r="A125" s="139" t="str">
        <f>IF(E125="","",VLOOKUP('Opći dio'!$C$3,'Opći dio'!$L$6:$U$136,10,FALSE))</f>
        <v/>
      </c>
      <c r="B125" s="139" t="str">
        <f>IF(E125="","",VLOOKUP('Opći dio'!$C$3,'Opći dio'!$L$6:$U$136,9,FALSE))</f>
        <v/>
      </c>
      <c r="C125" s="187" t="str">
        <f t="shared" si="8"/>
        <v/>
      </c>
      <c r="D125" s="138" t="str">
        <f t="shared" si="9"/>
        <v/>
      </c>
      <c r="E125" s="150"/>
      <c r="F125" s="191" t="str">
        <f t="shared" si="10"/>
        <v/>
      </c>
      <c r="G125" s="185"/>
      <c r="H125" s="185"/>
      <c r="I125" s="185"/>
      <c r="K125" s="141" t="str">
        <f t="shared" si="11"/>
        <v/>
      </c>
      <c r="L125" s="141" t="str">
        <f t="shared" si="12"/>
        <v/>
      </c>
    </row>
    <row r="126" spans="1:12">
      <c r="A126" s="139" t="str">
        <f>IF(E126="","",VLOOKUP('Opći dio'!$C$3,'Opći dio'!$L$6:$U$136,10,FALSE))</f>
        <v/>
      </c>
      <c r="B126" s="139" t="str">
        <f>IF(E126="","",VLOOKUP('Opći dio'!$C$3,'Opći dio'!$L$6:$U$136,9,FALSE))</f>
        <v/>
      </c>
      <c r="C126" s="187" t="str">
        <f t="shared" si="8"/>
        <v/>
      </c>
      <c r="D126" s="138" t="str">
        <f t="shared" si="9"/>
        <v/>
      </c>
      <c r="E126" s="150"/>
      <c r="F126" s="191" t="str">
        <f t="shared" si="10"/>
        <v/>
      </c>
      <c r="G126" s="185"/>
      <c r="H126" s="185"/>
      <c r="I126" s="185"/>
      <c r="K126" s="141" t="str">
        <f t="shared" si="11"/>
        <v/>
      </c>
      <c r="L126" s="141" t="str">
        <f t="shared" si="12"/>
        <v/>
      </c>
    </row>
    <row r="127" spans="1:12">
      <c r="A127" s="139" t="str">
        <f>IF(E127="","",VLOOKUP('Opći dio'!$C$3,'Opći dio'!$L$6:$U$136,10,FALSE))</f>
        <v/>
      </c>
      <c r="B127" s="139" t="str">
        <f>IF(E127="","",VLOOKUP('Opći dio'!$C$3,'Opći dio'!$L$6:$U$136,9,FALSE))</f>
        <v/>
      </c>
      <c r="C127" s="187" t="str">
        <f t="shared" si="8"/>
        <v/>
      </c>
      <c r="D127" s="138" t="str">
        <f t="shared" si="9"/>
        <v/>
      </c>
      <c r="E127" s="150"/>
      <c r="F127" s="191" t="str">
        <f t="shared" si="10"/>
        <v/>
      </c>
      <c r="G127" s="185"/>
      <c r="H127" s="185"/>
      <c r="I127" s="185"/>
      <c r="K127" s="141" t="str">
        <f t="shared" si="11"/>
        <v/>
      </c>
      <c r="L127" s="141" t="str">
        <f t="shared" si="12"/>
        <v/>
      </c>
    </row>
    <row r="128" spans="1:12">
      <c r="A128" s="139" t="str">
        <f>IF(E128="","",VLOOKUP('Opći dio'!$C$3,'Opći dio'!$L$6:$U$136,10,FALSE))</f>
        <v/>
      </c>
      <c r="B128" s="139" t="str">
        <f>IF(E128="","",VLOOKUP('Opći dio'!$C$3,'Opći dio'!$L$6:$U$136,9,FALSE))</f>
        <v/>
      </c>
      <c r="C128" s="187" t="str">
        <f t="shared" si="8"/>
        <v/>
      </c>
      <c r="D128" s="138" t="str">
        <f t="shared" si="9"/>
        <v/>
      </c>
      <c r="E128" s="150"/>
      <c r="F128" s="191" t="str">
        <f t="shared" si="10"/>
        <v/>
      </c>
      <c r="G128" s="185"/>
      <c r="H128" s="185"/>
      <c r="I128" s="185"/>
      <c r="K128" s="141" t="str">
        <f t="shared" si="11"/>
        <v/>
      </c>
      <c r="L128" s="141" t="str">
        <f t="shared" si="12"/>
        <v/>
      </c>
    </row>
    <row r="129" spans="1:12">
      <c r="A129" s="139" t="str">
        <f>IF(E129="","",VLOOKUP('Opći dio'!$C$3,'Opći dio'!$L$6:$U$136,10,FALSE))</f>
        <v/>
      </c>
      <c r="B129" s="139" t="str">
        <f>IF(E129="","",VLOOKUP('Opći dio'!$C$3,'Opći dio'!$L$6:$U$136,9,FALSE))</f>
        <v/>
      </c>
      <c r="C129" s="187" t="str">
        <f t="shared" si="8"/>
        <v/>
      </c>
      <c r="D129" s="138" t="str">
        <f t="shared" si="9"/>
        <v/>
      </c>
      <c r="E129" s="150"/>
      <c r="F129" s="191" t="str">
        <f t="shared" si="10"/>
        <v/>
      </c>
      <c r="G129" s="185"/>
      <c r="H129" s="185"/>
      <c r="I129" s="185"/>
      <c r="K129" s="141" t="str">
        <f t="shared" si="11"/>
        <v/>
      </c>
      <c r="L129" s="141" t="str">
        <f t="shared" si="12"/>
        <v/>
      </c>
    </row>
    <row r="130" spans="1:12">
      <c r="A130" s="139" t="str">
        <f>IF(E130="","",VLOOKUP('Opći dio'!$C$3,'Opći dio'!$L$6:$U$136,10,FALSE))</f>
        <v/>
      </c>
      <c r="B130" s="139" t="str">
        <f>IF(E130="","",VLOOKUP('Opći dio'!$C$3,'Opći dio'!$L$6:$U$136,9,FALSE))</f>
        <v/>
      </c>
      <c r="C130" s="187" t="str">
        <f t="shared" si="8"/>
        <v/>
      </c>
      <c r="D130" s="138" t="str">
        <f t="shared" si="9"/>
        <v/>
      </c>
      <c r="E130" s="150"/>
      <c r="F130" s="191" t="str">
        <f t="shared" si="10"/>
        <v/>
      </c>
      <c r="G130" s="185"/>
      <c r="H130" s="185"/>
      <c r="I130" s="185"/>
      <c r="K130" s="141" t="str">
        <f t="shared" si="11"/>
        <v/>
      </c>
      <c r="L130" s="141" t="str">
        <f t="shared" si="12"/>
        <v/>
      </c>
    </row>
    <row r="131" spans="1:12">
      <c r="A131" s="139" t="str">
        <f>IF(E131="","",VLOOKUP('Opći dio'!$C$3,'Opći dio'!$L$6:$U$136,10,FALSE))</f>
        <v/>
      </c>
      <c r="B131" s="139" t="str">
        <f>IF(E131="","",VLOOKUP('Opći dio'!$C$3,'Opći dio'!$L$6:$U$136,9,FALSE))</f>
        <v/>
      </c>
      <c r="C131" s="187" t="str">
        <f t="shared" si="8"/>
        <v/>
      </c>
      <c r="D131" s="138" t="str">
        <f t="shared" si="9"/>
        <v/>
      </c>
      <c r="E131" s="150"/>
      <c r="F131" s="191" t="str">
        <f t="shared" si="10"/>
        <v/>
      </c>
      <c r="G131" s="185"/>
      <c r="H131" s="185"/>
      <c r="I131" s="185"/>
      <c r="K131" s="141" t="str">
        <f t="shared" si="11"/>
        <v/>
      </c>
      <c r="L131" s="141" t="str">
        <f t="shared" si="12"/>
        <v/>
      </c>
    </row>
    <row r="132" spans="1:12">
      <c r="A132" s="139" t="str">
        <f>IF(E132="","",VLOOKUP('Opći dio'!$C$3,'Opći dio'!$L$6:$U$136,10,FALSE))</f>
        <v/>
      </c>
      <c r="B132" s="139" t="str">
        <f>IF(E132="","",VLOOKUP('Opći dio'!$C$3,'Opći dio'!$L$6:$U$136,9,FALSE))</f>
        <v/>
      </c>
      <c r="C132" s="187" t="str">
        <f t="shared" ref="C132:C195" si="13">IFERROR(VLOOKUP(E132,$Q$6:$T$200,3,FALSE),"")</f>
        <v/>
      </c>
      <c r="D132" s="138" t="str">
        <f t="shared" ref="D132:D195" si="14">IFERROR(VLOOKUP(E132,$Q$6:$T$200,4,FALSE),"")</f>
        <v/>
      </c>
      <c r="E132" s="150"/>
      <c r="F132" s="191" t="str">
        <f t="shared" ref="F132:F195" si="15">IFERROR(VLOOKUP(E132,$Q$6:$T$200,2,FALSE),"")</f>
        <v/>
      </c>
      <c r="G132" s="185"/>
      <c r="H132" s="185"/>
      <c r="I132" s="185"/>
      <c r="K132" s="141" t="str">
        <f t="shared" ref="K132:K195" si="16">LEFT(E132,3)</f>
        <v/>
      </c>
      <c r="L132" s="141" t="str">
        <f t="shared" ref="L132:L195" si="17">LEFT(E132,2)</f>
        <v/>
      </c>
    </row>
    <row r="133" spans="1:12">
      <c r="A133" s="139" t="str">
        <f>IF(E133="","",VLOOKUP('Opći dio'!$C$3,'Opći dio'!$L$6:$U$136,10,FALSE))</f>
        <v/>
      </c>
      <c r="B133" s="139" t="str">
        <f>IF(E133="","",VLOOKUP('Opći dio'!$C$3,'Opći dio'!$L$6:$U$136,9,FALSE))</f>
        <v/>
      </c>
      <c r="C133" s="187" t="str">
        <f t="shared" si="13"/>
        <v/>
      </c>
      <c r="D133" s="138" t="str">
        <f t="shared" si="14"/>
        <v/>
      </c>
      <c r="E133" s="150"/>
      <c r="F133" s="191" t="str">
        <f t="shared" si="15"/>
        <v/>
      </c>
      <c r="G133" s="185"/>
      <c r="H133" s="185"/>
      <c r="I133" s="185"/>
      <c r="K133" s="141" t="str">
        <f t="shared" si="16"/>
        <v/>
      </c>
      <c r="L133" s="141" t="str">
        <f t="shared" si="17"/>
        <v/>
      </c>
    </row>
    <row r="134" spans="1:12">
      <c r="A134" s="139" t="str">
        <f>IF(E134="","",VLOOKUP('Opći dio'!$C$3,'Opći dio'!$L$6:$U$136,10,FALSE))</f>
        <v/>
      </c>
      <c r="B134" s="139" t="str">
        <f>IF(E134="","",VLOOKUP('Opći dio'!$C$3,'Opći dio'!$L$6:$U$136,9,FALSE))</f>
        <v/>
      </c>
      <c r="C134" s="187" t="str">
        <f t="shared" si="13"/>
        <v/>
      </c>
      <c r="D134" s="138" t="str">
        <f t="shared" si="14"/>
        <v/>
      </c>
      <c r="E134" s="150"/>
      <c r="F134" s="191" t="str">
        <f t="shared" si="15"/>
        <v/>
      </c>
      <c r="G134" s="185"/>
      <c r="H134" s="185"/>
      <c r="I134" s="185"/>
      <c r="K134" s="141" t="str">
        <f t="shared" si="16"/>
        <v/>
      </c>
      <c r="L134" s="141" t="str">
        <f t="shared" si="17"/>
        <v/>
      </c>
    </row>
    <row r="135" spans="1:12">
      <c r="A135" s="139" t="str">
        <f>IF(E135="","",VLOOKUP('Opći dio'!$C$3,'Opći dio'!$L$6:$U$136,10,FALSE))</f>
        <v/>
      </c>
      <c r="B135" s="139" t="str">
        <f>IF(E135="","",VLOOKUP('Opći dio'!$C$3,'Opći dio'!$L$6:$U$136,9,FALSE))</f>
        <v/>
      </c>
      <c r="C135" s="187" t="str">
        <f t="shared" si="13"/>
        <v/>
      </c>
      <c r="D135" s="138" t="str">
        <f t="shared" si="14"/>
        <v/>
      </c>
      <c r="E135" s="150"/>
      <c r="F135" s="191" t="str">
        <f t="shared" si="15"/>
        <v/>
      </c>
      <c r="G135" s="185"/>
      <c r="H135" s="185"/>
      <c r="I135" s="185"/>
      <c r="K135" s="141" t="str">
        <f t="shared" si="16"/>
        <v/>
      </c>
      <c r="L135" s="141" t="str">
        <f t="shared" si="17"/>
        <v/>
      </c>
    </row>
    <row r="136" spans="1:12">
      <c r="A136" s="139" t="str">
        <f>IF(E136="","",VLOOKUP('Opći dio'!$C$3,'Opći dio'!$L$6:$U$136,10,FALSE))</f>
        <v/>
      </c>
      <c r="B136" s="139" t="str">
        <f>IF(E136="","",VLOOKUP('Opći dio'!$C$3,'Opći dio'!$L$6:$U$136,9,FALSE))</f>
        <v/>
      </c>
      <c r="C136" s="187" t="str">
        <f t="shared" si="13"/>
        <v/>
      </c>
      <c r="D136" s="138" t="str">
        <f t="shared" si="14"/>
        <v/>
      </c>
      <c r="E136" s="150"/>
      <c r="F136" s="191" t="str">
        <f t="shared" si="15"/>
        <v/>
      </c>
      <c r="G136" s="185"/>
      <c r="H136" s="185"/>
      <c r="I136" s="185"/>
      <c r="K136" s="141" t="str">
        <f t="shared" si="16"/>
        <v/>
      </c>
      <c r="L136" s="141" t="str">
        <f t="shared" si="17"/>
        <v/>
      </c>
    </row>
    <row r="137" spans="1:12">
      <c r="A137" s="139" t="str">
        <f>IF(E137="","",VLOOKUP('Opći dio'!$C$3,'Opći dio'!$L$6:$U$136,10,FALSE))</f>
        <v/>
      </c>
      <c r="B137" s="139" t="str">
        <f>IF(E137="","",VLOOKUP('Opći dio'!$C$3,'Opći dio'!$L$6:$U$136,9,FALSE))</f>
        <v/>
      </c>
      <c r="C137" s="187" t="str">
        <f t="shared" si="13"/>
        <v/>
      </c>
      <c r="D137" s="138" t="str">
        <f t="shared" si="14"/>
        <v/>
      </c>
      <c r="E137" s="150"/>
      <c r="F137" s="191" t="str">
        <f t="shared" si="15"/>
        <v/>
      </c>
      <c r="G137" s="185"/>
      <c r="H137" s="185"/>
      <c r="I137" s="185"/>
      <c r="K137" s="141" t="str">
        <f t="shared" si="16"/>
        <v/>
      </c>
      <c r="L137" s="141" t="str">
        <f t="shared" si="17"/>
        <v/>
      </c>
    </row>
    <row r="138" spans="1:12">
      <c r="A138" s="139" t="str">
        <f>IF(E138="","",VLOOKUP('Opći dio'!$C$3,'Opći dio'!$L$6:$U$136,10,FALSE))</f>
        <v/>
      </c>
      <c r="B138" s="139" t="str">
        <f>IF(E138="","",VLOOKUP('Opći dio'!$C$3,'Opći dio'!$L$6:$U$136,9,FALSE))</f>
        <v/>
      </c>
      <c r="C138" s="187" t="str">
        <f t="shared" si="13"/>
        <v/>
      </c>
      <c r="D138" s="138" t="str">
        <f t="shared" si="14"/>
        <v/>
      </c>
      <c r="E138" s="150"/>
      <c r="F138" s="191" t="str">
        <f t="shared" si="15"/>
        <v/>
      </c>
      <c r="G138" s="185"/>
      <c r="H138" s="185"/>
      <c r="I138" s="185"/>
      <c r="K138" s="141" t="str">
        <f t="shared" si="16"/>
        <v/>
      </c>
      <c r="L138" s="141" t="str">
        <f t="shared" si="17"/>
        <v/>
      </c>
    </row>
    <row r="139" spans="1:12">
      <c r="A139" s="139" t="str">
        <f>IF(E139="","",VLOOKUP('Opći dio'!$C$3,'Opći dio'!$L$6:$U$136,10,FALSE))</f>
        <v/>
      </c>
      <c r="B139" s="139" t="str">
        <f>IF(E139="","",VLOOKUP('Opći dio'!$C$3,'Opći dio'!$L$6:$U$136,9,FALSE))</f>
        <v/>
      </c>
      <c r="C139" s="187" t="str">
        <f t="shared" si="13"/>
        <v/>
      </c>
      <c r="D139" s="138" t="str">
        <f t="shared" si="14"/>
        <v/>
      </c>
      <c r="E139" s="150"/>
      <c r="F139" s="191" t="str">
        <f t="shared" si="15"/>
        <v/>
      </c>
      <c r="G139" s="185"/>
      <c r="H139" s="185"/>
      <c r="I139" s="185"/>
      <c r="K139" s="141" t="str">
        <f t="shared" si="16"/>
        <v/>
      </c>
      <c r="L139" s="141" t="str">
        <f t="shared" si="17"/>
        <v/>
      </c>
    </row>
    <row r="140" spans="1:12">
      <c r="A140" s="139" t="str">
        <f>IF(E140="","",VLOOKUP('Opći dio'!$C$3,'Opći dio'!$L$6:$U$136,10,FALSE))</f>
        <v/>
      </c>
      <c r="B140" s="139" t="str">
        <f>IF(E140="","",VLOOKUP('Opći dio'!$C$3,'Opći dio'!$L$6:$U$136,9,FALSE))</f>
        <v/>
      </c>
      <c r="C140" s="187" t="str">
        <f t="shared" si="13"/>
        <v/>
      </c>
      <c r="D140" s="138" t="str">
        <f t="shared" si="14"/>
        <v/>
      </c>
      <c r="E140" s="150"/>
      <c r="F140" s="191" t="str">
        <f t="shared" si="15"/>
        <v/>
      </c>
      <c r="G140" s="185"/>
      <c r="H140" s="185"/>
      <c r="I140" s="185"/>
      <c r="K140" s="141" t="str">
        <f t="shared" si="16"/>
        <v/>
      </c>
      <c r="L140" s="141" t="str">
        <f t="shared" si="17"/>
        <v/>
      </c>
    </row>
    <row r="141" spans="1:12">
      <c r="A141" s="139" t="str">
        <f>IF(E141="","",VLOOKUP('Opći dio'!$C$3,'Opći dio'!$L$6:$U$136,10,FALSE))</f>
        <v/>
      </c>
      <c r="B141" s="139" t="str">
        <f>IF(E141="","",VLOOKUP('Opći dio'!$C$3,'Opći dio'!$L$6:$U$136,9,FALSE))</f>
        <v/>
      </c>
      <c r="C141" s="187" t="str">
        <f t="shared" si="13"/>
        <v/>
      </c>
      <c r="D141" s="138" t="str">
        <f t="shared" si="14"/>
        <v/>
      </c>
      <c r="E141" s="150"/>
      <c r="F141" s="191" t="str">
        <f t="shared" si="15"/>
        <v/>
      </c>
      <c r="G141" s="185"/>
      <c r="H141" s="185"/>
      <c r="I141" s="185"/>
      <c r="K141" s="141" t="str">
        <f t="shared" si="16"/>
        <v/>
      </c>
      <c r="L141" s="141" t="str">
        <f t="shared" si="17"/>
        <v/>
      </c>
    </row>
    <row r="142" spans="1:12">
      <c r="A142" s="139" t="str">
        <f>IF(E142="","",VLOOKUP('Opći dio'!$C$3,'Opći dio'!$L$6:$U$136,10,FALSE))</f>
        <v/>
      </c>
      <c r="B142" s="139" t="str">
        <f>IF(E142="","",VLOOKUP('Opći dio'!$C$3,'Opći dio'!$L$6:$U$136,9,FALSE))</f>
        <v/>
      </c>
      <c r="C142" s="187" t="str">
        <f t="shared" si="13"/>
        <v/>
      </c>
      <c r="D142" s="138" t="str">
        <f t="shared" si="14"/>
        <v/>
      </c>
      <c r="E142" s="150"/>
      <c r="F142" s="191" t="str">
        <f t="shared" si="15"/>
        <v/>
      </c>
      <c r="G142" s="185"/>
      <c r="H142" s="185"/>
      <c r="I142" s="185"/>
      <c r="K142" s="141" t="str">
        <f t="shared" si="16"/>
        <v/>
      </c>
      <c r="L142" s="141" t="str">
        <f t="shared" si="17"/>
        <v/>
      </c>
    </row>
    <row r="143" spans="1:12">
      <c r="A143" s="139" t="str">
        <f>IF(E143="","",VLOOKUP('Opći dio'!$C$3,'Opći dio'!$L$6:$U$136,10,FALSE))</f>
        <v/>
      </c>
      <c r="B143" s="139" t="str">
        <f>IF(E143="","",VLOOKUP('Opći dio'!$C$3,'Opći dio'!$L$6:$U$136,9,FALSE))</f>
        <v/>
      </c>
      <c r="C143" s="187" t="str">
        <f t="shared" si="13"/>
        <v/>
      </c>
      <c r="D143" s="138" t="str">
        <f t="shared" si="14"/>
        <v/>
      </c>
      <c r="E143" s="150"/>
      <c r="F143" s="191" t="str">
        <f t="shared" si="15"/>
        <v/>
      </c>
      <c r="G143" s="185"/>
      <c r="H143" s="185"/>
      <c r="I143" s="185"/>
      <c r="K143" s="141" t="str">
        <f t="shared" si="16"/>
        <v/>
      </c>
      <c r="L143" s="141" t="str">
        <f t="shared" si="17"/>
        <v/>
      </c>
    </row>
    <row r="144" spans="1:12">
      <c r="A144" s="139" t="str">
        <f>IF(E144="","",VLOOKUP('Opći dio'!$C$3,'Opći dio'!$L$6:$U$136,10,FALSE))</f>
        <v/>
      </c>
      <c r="B144" s="139" t="str">
        <f>IF(E144="","",VLOOKUP('Opći dio'!$C$3,'Opći dio'!$L$6:$U$136,9,FALSE))</f>
        <v/>
      </c>
      <c r="C144" s="187" t="str">
        <f t="shared" si="13"/>
        <v/>
      </c>
      <c r="D144" s="138" t="str">
        <f t="shared" si="14"/>
        <v/>
      </c>
      <c r="E144" s="150"/>
      <c r="F144" s="191" t="str">
        <f t="shared" si="15"/>
        <v/>
      </c>
      <c r="G144" s="185"/>
      <c r="H144" s="185"/>
      <c r="I144" s="185"/>
      <c r="K144" s="141" t="str">
        <f t="shared" si="16"/>
        <v/>
      </c>
      <c r="L144" s="141" t="str">
        <f t="shared" si="17"/>
        <v/>
      </c>
    </row>
    <row r="145" spans="1:12">
      <c r="A145" s="139" t="str">
        <f>IF(E145="","",VLOOKUP('Opći dio'!$C$3,'Opći dio'!$L$6:$U$136,10,FALSE))</f>
        <v/>
      </c>
      <c r="B145" s="139" t="str">
        <f>IF(E145="","",VLOOKUP('Opći dio'!$C$3,'Opći dio'!$L$6:$U$136,9,FALSE))</f>
        <v/>
      </c>
      <c r="C145" s="187" t="str">
        <f t="shared" si="13"/>
        <v/>
      </c>
      <c r="D145" s="138" t="str">
        <f t="shared" si="14"/>
        <v/>
      </c>
      <c r="E145" s="150"/>
      <c r="F145" s="191" t="str">
        <f t="shared" si="15"/>
        <v/>
      </c>
      <c r="G145" s="185"/>
      <c r="H145" s="185"/>
      <c r="I145" s="185"/>
      <c r="K145" s="141" t="str">
        <f t="shared" si="16"/>
        <v/>
      </c>
      <c r="L145" s="141" t="str">
        <f t="shared" si="17"/>
        <v/>
      </c>
    </row>
    <row r="146" spans="1:12">
      <c r="A146" s="139" t="str">
        <f>IF(E146="","",VLOOKUP('Opći dio'!$C$3,'Opći dio'!$L$6:$U$136,10,FALSE))</f>
        <v/>
      </c>
      <c r="B146" s="139" t="str">
        <f>IF(E146="","",VLOOKUP('Opći dio'!$C$3,'Opći dio'!$L$6:$U$136,9,FALSE))</f>
        <v/>
      </c>
      <c r="C146" s="187" t="str">
        <f t="shared" si="13"/>
        <v/>
      </c>
      <c r="D146" s="138" t="str">
        <f t="shared" si="14"/>
        <v/>
      </c>
      <c r="E146" s="150"/>
      <c r="F146" s="191" t="str">
        <f t="shared" si="15"/>
        <v/>
      </c>
      <c r="G146" s="185"/>
      <c r="H146" s="185"/>
      <c r="I146" s="185"/>
      <c r="K146" s="141" t="str">
        <f t="shared" si="16"/>
        <v/>
      </c>
      <c r="L146" s="141" t="str">
        <f t="shared" si="17"/>
        <v/>
      </c>
    </row>
    <row r="147" spans="1:12">
      <c r="A147" s="139" t="str">
        <f>IF(E147="","",VLOOKUP('Opći dio'!$C$3,'Opći dio'!$L$6:$U$136,10,FALSE))</f>
        <v/>
      </c>
      <c r="B147" s="139" t="str">
        <f>IF(E147="","",VLOOKUP('Opći dio'!$C$3,'Opći dio'!$L$6:$U$136,9,FALSE))</f>
        <v/>
      </c>
      <c r="C147" s="187" t="str">
        <f t="shared" si="13"/>
        <v/>
      </c>
      <c r="D147" s="138" t="str">
        <f t="shared" si="14"/>
        <v/>
      </c>
      <c r="E147" s="150"/>
      <c r="F147" s="191" t="str">
        <f t="shared" si="15"/>
        <v/>
      </c>
      <c r="G147" s="185"/>
      <c r="H147" s="185"/>
      <c r="I147" s="185"/>
      <c r="K147" s="141" t="str">
        <f t="shared" si="16"/>
        <v/>
      </c>
      <c r="L147" s="141" t="str">
        <f t="shared" si="17"/>
        <v/>
      </c>
    </row>
    <row r="148" spans="1:12">
      <c r="A148" s="139" t="str">
        <f>IF(E148="","",VLOOKUP('Opći dio'!$C$3,'Opći dio'!$L$6:$U$136,10,FALSE))</f>
        <v/>
      </c>
      <c r="B148" s="139" t="str">
        <f>IF(E148="","",VLOOKUP('Opći dio'!$C$3,'Opći dio'!$L$6:$U$136,9,FALSE))</f>
        <v/>
      </c>
      <c r="C148" s="187" t="str">
        <f t="shared" si="13"/>
        <v/>
      </c>
      <c r="D148" s="138" t="str">
        <f t="shared" si="14"/>
        <v/>
      </c>
      <c r="E148" s="150"/>
      <c r="F148" s="191" t="str">
        <f t="shared" si="15"/>
        <v/>
      </c>
      <c r="G148" s="185"/>
      <c r="H148" s="185"/>
      <c r="I148" s="185"/>
      <c r="K148" s="141" t="str">
        <f t="shared" si="16"/>
        <v/>
      </c>
      <c r="L148" s="141" t="str">
        <f t="shared" si="17"/>
        <v/>
      </c>
    </row>
    <row r="149" spans="1:12">
      <c r="A149" s="139" t="str">
        <f>IF(E149="","",VLOOKUP('Opći dio'!$C$3,'Opći dio'!$L$6:$U$136,10,FALSE))</f>
        <v/>
      </c>
      <c r="B149" s="139" t="str">
        <f>IF(E149="","",VLOOKUP('Opći dio'!$C$3,'Opći dio'!$L$6:$U$136,9,FALSE))</f>
        <v/>
      </c>
      <c r="C149" s="187" t="str">
        <f t="shared" si="13"/>
        <v/>
      </c>
      <c r="D149" s="138" t="str">
        <f t="shared" si="14"/>
        <v/>
      </c>
      <c r="E149" s="150"/>
      <c r="F149" s="191" t="str">
        <f t="shared" si="15"/>
        <v/>
      </c>
      <c r="G149" s="185"/>
      <c r="H149" s="185"/>
      <c r="I149" s="185"/>
      <c r="K149" s="141" t="str">
        <f t="shared" si="16"/>
        <v/>
      </c>
      <c r="L149" s="141" t="str">
        <f t="shared" si="17"/>
        <v/>
      </c>
    </row>
    <row r="150" spans="1:12">
      <c r="A150" s="139" t="str">
        <f>IF(E150="","",VLOOKUP('Opći dio'!$C$3,'Opći dio'!$L$6:$U$136,10,FALSE))</f>
        <v/>
      </c>
      <c r="B150" s="139" t="str">
        <f>IF(E150="","",VLOOKUP('Opći dio'!$C$3,'Opći dio'!$L$6:$U$136,9,FALSE))</f>
        <v/>
      </c>
      <c r="C150" s="187" t="str">
        <f t="shared" si="13"/>
        <v/>
      </c>
      <c r="D150" s="138" t="str">
        <f t="shared" si="14"/>
        <v/>
      </c>
      <c r="E150" s="150"/>
      <c r="F150" s="191" t="str">
        <f t="shared" si="15"/>
        <v/>
      </c>
      <c r="G150" s="185"/>
      <c r="H150" s="185"/>
      <c r="I150" s="185"/>
      <c r="K150" s="141" t="str">
        <f t="shared" si="16"/>
        <v/>
      </c>
      <c r="L150" s="141" t="str">
        <f t="shared" si="17"/>
        <v/>
      </c>
    </row>
    <row r="151" spans="1:12">
      <c r="A151" s="139" t="str">
        <f>IF(E151="","",VLOOKUP('Opći dio'!$C$3,'Opći dio'!$L$6:$U$136,10,FALSE))</f>
        <v/>
      </c>
      <c r="B151" s="139" t="str">
        <f>IF(E151="","",VLOOKUP('Opći dio'!$C$3,'Opći dio'!$L$6:$U$136,9,FALSE))</f>
        <v/>
      </c>
      <c r="C151" s="187" t="str">
        <f t="shared" si="13"/>
        <v/>
      </c>
      <c r="D151" s="138" t="str">
        <f t="shared" si="14"/>
        <v/>
      </c>
      <c r="E151" s="150"/>
      <c r="F151" s="191" t="str">
        <f t="shared" si="15"/>
        <v/>
      </c>
      <c r="G151" s="185"/>
      <c r="H151" s="185"/>
      <c r="I151" s="185"/>
      <c r="K151" s="141" t="str">
        <f t="shared" si="16"/>
        <v/>
      </c>
      <c r="L151" s="141" t="str">
        <f t="shared" si="17"/>
        <v/>
      </c>
    </row>
    <row r="152" spans="1:12">
      <c r="A152" s="139" t="str">
        <f>IF(E152="","",VLOOKUP('Opći dio'!$C$3,'Opći dio'!$L$6:$U$136,10,FALSE))</f>
        <v/>
      </c>
      <c r="B152" s="139" t="str">
        <f>IF(E152="","",VLOOKUP('Opći dio'!$C$3,'Opći dio'!$L$6:$U$136,9,FALSE))</f>
        <v/>
      </c>
      <c r="C152" s="187" t="str">
        <f t="shared" si="13"/>
        <v/>
      </c>
      <c r="D152" s="138" t="str">
        <f t="shared" si="14"/>
        <v/>
      </c>
      <c r="E152" s="150"/>
      <c r="F152" s="191" t="str">
        <f t="shared" si="15"/>
        <v/>
      </c>
      <c r="G152" s="185"/>
      <c r="H152" s="185"/>
      <c r="I152" s="185"/>
      <c r="K152" s="141" t="str">
        <f t="shared" si="16"/>
        <v/>
      </c>
      <c r="L152" s="141" t="str">
        <f t="shared" si="17"/>
        <v/>
      </c>
    </row>
    <row r="153" spans="1:12">
      <c r="A153" s="139" t="str">
        <f>IF(E153="","",VLOOKUP('Opći dio'!$C$3,'Opći dio'!$L$6:$U$136,10,FALSE))</f>
        <v/>
      </c>
      <c r="B153" s="139" t="str">
        <f>IF(E153="","",VLOOKUP('Opći dio'!$C$3,'Opći dio'!$L$6:$U$136,9,FALSE))</f>
        <v/>
      </c>
      <c r="C153" s="187" t="str">
        <f t="shared" si="13"/>
        <v/>
      </c>
      <c r="D153" s="138" t="str">
        <f t="shared" si="14"/>
        <v/>
      </c>
      <c r="E153" s="150"/>
      <c r="F153" s="191" t="str">
        <f t="shared" si="15"/>
        <v/>
      </c>
      <c r="G153" s="185"/>
      <c r="H153" s="185"/>
      <c r="I153" s="185"/>
      <c r="K153" s="141" t="str">
        <f t="shared" si="16"/>
        <v/>
      </c>
      <c r="L153" s="141" t="str">
        <f t="shared" si="17"/>
        <v/>
      </c>
    </row>
    <row r="154" spans="1:12">
      <c r="A154" s="139" t="str">
        <f>IF(E154="","",VLOOKUP('Opći dio'!$C$3,'Opći dio'!$L$6:$U$136,10,FALSE))</f>
        <v/>
      </c>
      <c r="B154" s="139" t="str">
        <f>IF(E154="","",VLOOKUP('Opći dio'!$C$3,'Opći dio'!$L$6:$U$136,9,FALSE))</f>
        <v/>
      </c>
      <c r="C154" s="187" t="str">
        <f t="shared" si="13"/>
        <v/>
      </c>
      <c r="D154" s="138" t="str">
        <f t="shared" si="14"/>
        <v/>
      </c>
      <c r="E154" s="150"/>
      <c r="F154" s="191" t="str">
        <f t="shared" si="15"/>
        <v/>
      </c>
      <c r="G154" s="185"/>
      <c r="H154" s="185"/>
      <c r="I154" s="185"/>
      <c r="K154" s="141" t="str">
        <f t="shared" si="16"/>
        <v/>
      </c>
      <c r="L154" s="141" t="str">
        <f t="shared" si="17"/>
        <v/>
      </c>
    </row>
    <row r="155" spans="1:12">
      <c r="A155" s="139" t="str">
        <f>IF(E155="","",VLOOKUP('Opći dio'!$C$3,'Opći dio'!$L$6:$U$136,10,FALSE))</f>
        <v/>
      </c>
      <c r="B155" s="139" t="str">
        <f>IF(E155="","",VLOOKUP('Opći dio'!$C$3,'Opći dio'!$L$6:$U$136,9,FALSE))</f>
        <v/>
      </c>
      <c r="C155" s="187" t="str">
        <f t="shared" si="13"/>
        <v/>
      </c>
      <c r="D155" s="138" t="str">
        <f t="shared" si="14"/>
        <v/>
      </c>
      <c r="E155" s="150"/>
      <c r="F155" s="191" t="str">
        <f t="shared" si="15"/>
        <v/>
      </c>
      <c r="G155" s="185"/>
      <c r="H155" s="185"/>
      <c r="I155" s="185"/>
      <c r="K155" s="141" t="str">
        <f t="shared" si="16"/>
        <v/>
      </c>
      <c r="L155" s="141" t="str">
        <f t="shared" si="17"/>
        <v/>
      </c>
    </row>
    <row r="156" spans="1:12">
      <c r="A156" s="139" t="str">
        <f>IF(E156="","",VLOOKUP('Opći dio'!$C$3,'Opći dio'!$L$6:$U$136,10,FALSE))</f>
        <v/>
      </c>
      <c r="B156" s="139" t="str">
        <f>IF(E156="","",VLOOKUP('Opći dio'!$C$3,'Opći dio'!$L$6:$U$136,9,FALSE))</f>
        <v/>
      </c>
      <c r="C156" s="187" t="str">
        <f t="shared" si="13"/>
        <v/>
      </c>
      <c r="D156" s="138" t="str">
        <f t="shared" si="14"/>
        <v/>
      </c>
      <c r="E156" s="150"/>
      <c r="F156" s="191" t="str">
        <f t="shared" si="15"/>
        <v/>
      </c>
      <c r="G156" s="185"/>
      <c r="H156" s="185"/>
      <c r="I156" s="185"/>
      <c r="K156" s="141" t="str">
        <f t="shared" si="16"/>
        <v/>
      </c>
      <c r="L156" s="141" t="str">
        <f t="shared" si="17"/>
        <v/>
      </c>
    </row>
    <row r="157" spans="1:12">
      <c r="A157" s="139" t="str">
        <f>IF(E157="","",VLOOKUP('Opći dio'!$C$3,'Opći dio'!$L$6:$U$136,10,FALSE))</f>
        <v/>
      </c>
      <c r="B157" s="139" t="str">
        <f>IF(E157="","",VLOOKUP('Opći dio'!$C$3,'Opći dio'!$L$6:$U$136,9,FALSE))</f>
        <v/>
      </c>
      <c r="C157" s="187" t="str">
        <f t="shared" si="13"/>
        <v/>
      </c>
      <c r="D157" s="138" t="str">
        <f t="shared" si="14"/>
        <v/>
      </c>
      <c r="E157" s="150"/>
      <c r="F157" s="191" t="str">
        <f t="shared" si="15"/>
        <v/>
      </c>
      <c r="G157" s="185"/>
      <c r="H157" s="185"/>
      <c r="I157" s="185"/>
      <c r="K157" s="141" t="str">
        <f t="shared" si="16"/>
        <v/>
      </c>
      <c r="L157" s="141" t="str">
        <f t="shared" si="17"/>
        <v/>
      </c>
    </row>
    <row r="158" spans="1:12">
      <c r="A158" s="139" t="str">
        <f>IF(E158="","",VLOOKUP('Opći dio'!$C$3,'Opći dio'!$L$6:$U$136,10,FALSE))</f>
        <v/>
      </c>
      <c r="B158" s="139" t="str">
        <f>IF(E158="","",VLOOKUP('Opći dio'!$C$3,'Opći dio'!$L$6:$U$136,9,FALSE))</f>
        <v/>
      </c>
      <c r="C158" s="187" t="str">
        <f t="shared" si="13"/>
        <v/>
      </c>
      <c r="D158" s="138" t="str">
        <f t="shared" si="14"/>
        <v/>
      </c>
      <c r="E158" s="150"/>
      <c r="F158" s="191" t="str">
        <f t="shared" si="15"/>
        <v/>
      </c>
      <c r="G158" s="185"/>
      <c r="H158" s="185"/>
      <c r="I158" s="185"/>
      <c r="K158" s="141" t="str">
        <f t="shared" si="16"/>
        <v/>
      </c>
      <c r="L158" s="141" t="str">
        <f t="shared" si="17"/>
        <v/>
      </c>
    </row>
    <row r="159" spans="1:12">
      <c r="A159" s="139" t="str">
        <f>IF(E159="","",VLOOKUP('Opći dio'!$C$3,'Opći dio'!$L$6:$U$136,10,FALSE))</f>
        <v/>
      </c>
      <c r="B159" s="139" t="str">
        <f>IF(E159="","",VLOOKUP('Opći dio'!$C$3,'Opći dio'!$L$6:$U$136,9,FALSE))</f>
        <v/>
      </c>
      <c r="C159" s="187" t="str">
        <f t="shared" si="13"/>
        <v/>
      </c>
      <c r="D159" s="138" t="str">
        <f t="shared" si="14"/>
        <v/>
      </c>
      <c r="E159" s="150"/>
      <c r="F159" s="191" t="str">
        <f t="shared" si="15"/>
        <v/>
      </c>
      <c r="G159" s="185"/>
      <c r="H159" s="185"/>
      <c r="I159" s="185"/>
      <c r="K159" s="141" t="str">
        <f t="shared" si="16"/>
        <v/>
      </c>
      <c r="L159" s="141" t="str">
        <f t="shared" si="17"/>
        <v/>
      </c>
    </row>
    <row r="160" spans="1:12">
      <c r="A160" s="139" t="str">
        <f>IF(E160="","",VLOOKUP('Opći dio'!$C$3,'Opći dio'!$L$6:$U$136,10,FALSE))</f>
        <v/>
      </c>
      <c r="B160" s="139" t="str">
        <f>IF(E160="","",VLOOKUP('Opći dio'!$C$3,'Opći dio'!$L$6:$U$136,9,FALSE))</f>
        <v/>
      </c>
      <c r="C160" s="187" t="str">
        <f t="shared" si="13"/>
        <v/>
      </c>
      <c r="D160" s="138" t="str">
        <f t="shared" si="14"/>
        <v/>
      </c>
      <c r="E160" s="150"/>
      <c r="F160" s="191" t="str">
        <f t="shared" si="15"/>
        <v/>
      </c>
      <c r="G160" s="185"/>
      <c r="H160" s="185"/>
      <c r="I160" s="185"/>
      <c r="K160" s="141" t="str">
        <f t="shared" si="16"/>
        <v/>
      </c>
      <c r="L160" s="141" t="str">
        <f t="shared" si="17"/>
        <v/>
      </c>
    </row>
    <row r="161" spans="1:12">
      <c r="A161" s="139" t="str">
        <f>IF(E161="","",VLOOKUP('Opći dio'!$C$3,'Opći dio'!$L$6:$U$136,10,FALSE))</f>
        <v/>
      </c>
      <c r="B161" s="139" t="str">
        <f>IF(E161="","",VLOOKUP('Opći dio'!$C$3,'Opći dio'!$L$6:$U$136,9,FALSE))</f>
        <v/>
      </c>
      <c r="C161" s="187" t="str">
        <f t="shared" si="13"/>
        <v/>
      </c>
      <c r="D161" s="138" t="str">
        <f t="shared" si="14"/>
        <v/>
      </c>
      <c r="E161" s="150"/>
      <c r="F161" s="191" t="str">
        <f t="shared" si="15"/>
        <v/>
      </c>
      <c r="G161" s="185"/>
      <c r="H161" s="185"/>
      <c r="I161" s="185"/>
      <c r="K161" s="141" t="str">
        <f t="shared" si="16"/>
        <v/>
      </c>
      <c r="L161" s="141" t="str">
        <f t="shared" si="17"/>
        <v/>
      </c>
    </row>
    <row r="162" spans="1:12">
      <c r="A162" s="139" t="str">
        <f>IF(E162="","",VLOOKUP('Opći dio'!$C$3,'Opći dio'!$L$6:$U$136,10,FALSE))</f>
        <v/>
      </c>
      <c r="B162" s="139" t="str">
        <f>IF(E162="","",VLOOKUP('Opći dio'!$C$3,'Opći dio'!$L$6:$U$136,9,FALSE))</f>
        <v/>
      </c>
      <c r="C162" s="187" t="str">
        <f t="shared" si="13"/>
        <v/>
      </c>
      <c r="D162" s="138" t="str">
        <f t="shared" si="14"/>
        <v/>
      </c>
      <c r="E162" s="150"/>
      <c r="F162" s="191" t="str">
        <f t="shared" si="15"/>
        <v/>
      </c>
      <c r="G162" s="185"/>
      <c r="H162" s="185"/>
      <c r="I162" s="185"/>
      <c r="K162" s="141" t="str">
        <f t="shared" si="16"/>
        <v/>
      </c>
      <c r="L162" s="141" t="str">
        <f t="shared" si="17"/>
        <v/>
      </c>
    </row>
    <row r="163" spans="1:12">
      <c r="A163" s="139" t="str">
        <f>IF(E163="","",VLOOKUP('Opći dio'!$C$3,'Opći dio'!$L$6:$U$136,10,FALSE))</f>
        <v/>
      </c>
      <c r="B163" s="139" t="str">
        <f>IF(E163="","",VLOOKUP('Opći dio'!$C$3,'Opći dio'!$L$6:$U$136,9,FALSE))</f>
        <v/>
      </c>
      <c r="C163" s="187" t="str">
        <f t="shared" si="13"/>
        <v/>
      </c>
      <c r="D163" s="138" t="str">
        <f t="shared" si="14"/>
        <v/>
      </c>
      <c r="E163" s="150"/>
      <c r="F163" s="191" t="str">
        <f t="shared" si="15"/>
        <v/>
      </c>
      <c r="G163" s="185"/>
      <c r="H163" s="185"/>
      <c r="I163" s="185"/>
      <c r="K163" s="141" t="str">
        <f t="shared" si="16"/>
        <v/>
      </c>
      <c r="L163" s="141" t="str">
        <f t="shared" si="17"/>
        <v/>
      </c>
    </row>
    <row r="164" spans="1:12">
      <c r="A164" s="139" t="str">
        <f>IF(E164="","",VLOOKUP('Opći dio'!$C$3,'Opći dio'!$L$6:$U$136,10,FALSE))</f>
        <v/>
      </c>
      <c r="B164" s="139" t="str">
        <f>IF(E164="","",VLOOKUP('Opći dio'!$C$3,'Opći dio'!$L$6:$U$136,9,FALSE))</f>
        <v/>
      </c>
      <c r="C164" s="187" t="str">
        <f t="shared" si="13"/>
        <v/>
      </c>
      <c r="D164" s="138" t="str">
        <f t="shared" si="14"/>
        <v/>
      </c>
      <c r="E164" s="150"/>
      <c r="F164" s="191" t="str">
        <f t="shared" si="15"/>
        <v/>
      </c>
      <c r="G164" s="185"/>
      <c r="H164" s="185"/>
      <c r="I164" s="185"/>
      <c r="K164" s="141" t="str">
        <f t="shared" si="16"/>
        <v/>
      </c>
      <c r="L164" s="141" t="str">
        <f t="shared" si="17"/>
        <v/>
      </c>
    </row>
    <row r="165" spans="1:12">
      <c r="A165" s="139" t="str">
        <f>IF(E165="","",VLOOKUP('Opći dio'!$C$3,'Opći dio'!$L$6:$U$136,10,FALSE))</f>
        <v/>
      </c>
      <c r="B165" s="139" t="str">
        <f>IF(E165="","",VLOOKUP('Opći dio'!$C$3,'Opći dio'!$L$6:$U$136,9,FALSE))</f>
        <v/>
      </c>
      <c r="C165" s="187" t="str">
        <f t="shared" si="13"/>
        <v/>
      </c>
      <c r="D165" s="138" t="str">
        <f t="shared" si="14"/>
        <v/>
      </c>
      <c r="E165" s="150"/>
      <c r="F165" s="191" t="str">
        <f t="shared" si="15"/>
        <v/>
      </c>
      <c r="G165" s="185"/>
      <c r="H165" s="185"/>
      <c r="I165" s="185"/>
      <c r="K165" s="141" t="str">
        <f t="shared" si="16"/>
        <v/>
      </c>
      <c r="L165" s="141" t="str">
        <f t="shared" si="17"/>
        <v/>
      </c>
    </row>
    <row r="166" spans="1:12">
      <c r="A166" s="139" t="str">
        <f>IF(E166="","",VLOOKUP('Opći dio'!$C$3,'Opći dio'!$L$6:$U$136,10,FALSE))</f>
        <v/>
      </c>
      <c r="B166" s="139" t="str">
        <f>IF(E166="","",VLOOKUP('Opći dio'!$C$3,'Opći dio'!$L$6:$U$136,9,FALSE))</f>
        <v/>
      </c>
      <c r="C166" s="187" t="str">
        <f t="shared" si="13"/>
        <v/>
      </c>
      <c r="D166" s="138" t="str">
        <f t="shared" si="14"/>
        <v/>
      </c>
      <c r="E166" s="150"/>
      <c r="F166" s="191" t="str">
        <f t="shared" si="15"/>
        <v/>
      </c>
      <c r="G166" s="185"/>
      <c r="H166" s="185"/>
      <c r="I166" s="185"/>
      <c r="K166" s="141" t="str">
        <f t="shared" si="16"/>
        <v/>
      </c>
      <c r="L166" s="141" t="str">
        <f t="shared" si="17"/>
        <v/>
      </c>
    </row>
    <row r="167" spans="1:12">
      <c r="A167" s="139" t="str">
        <f>IF(E167="","",VLOOKUP('Opći dio'!$C$3,'Opći dio'!$L$6:$U$136,10,FALSE))</f>
        <v/>
      </c>
      <c r="B167" s="139" t="str">
        <f>IF(E167="","",VLOOKUP('Opći dio'!$C$3,'Opći dio'!$L$6:$U$136,9,FALSE))</f>
        <v/>
      </c>
      <c r="C167" s="187" t="str">
        <f t="shared" si="13"/>
        <v/>
      </c>
      <c r="D167" s="138" t="str">
        <f t="shared" si="14"/>
        <v/>
      </c>
      <c r="E167" s="150"/>
      <c r="F167" s="191" t="str">
        <f t="shared" si="15"/>
        <v/>
      </c>
      <c r="G167" s="185"/>
      <c r="H167" s="185"/>
      <c r="I167" s="185"/>
      <c r="K167" s="141" t="str">
        <f t="shared" si="16"/>
        <v/>
      </c>
      <c r="L167" s="141" t="str">
        <f t="shared" si="17"/>
        <v/>
      </c>
    </row>
    <row r="168" spans="1:12">
      <c r="A168" s="139" t="str">
        <f>IF(E168="","",VLOOKUP('Opći dio'!$C$3,'Opći dio'!$L$6:$U$136,10,FALSE))</f>
        <v/>
      </c>
      <c r="B168" s="139" t="str">
        <f>IF(E168="","",VLOOKUP('Opći dio'!$C$3,'Opći dio'!$L$6:$U$136,9,FALSE))</f>
        <v/>
      </c>
      <c r="C168" s="187" t="str">
        <f t="shared" si="13"/>
        <v/>
      </c>
      <c r="D168" s="138" t="str">
        <f t="shared" si="14"/>
        <v/>
      </c>
      <c r="E168" s="150"/>
      <c r="F168" s="191" t="str">
        <f t="shared" si="15"/>
        <v/>
      </c>
      <c r="G168" s="185"/>
      <c r="H168" s="185"/>
      <c r="I168" s="185"/>
      <c r="K168" s="141" t="str">
        <f t="shared" si="16"/>
        <v/>
      </c>
      <c r="L168" s="141" t="str">
        <f t="shared" si="17"/>
        <v/>
      </c>
    </row>
    <row r="169" spans="1:12">
      <c r="A169" s="139" t="str">
        <f>IF(E169="","",VLOOKUP('Opći dio'!$C$3,'Opći dio'!$L$6:$U$136,10,FALSE))</f>
        <v/>
      </c>
      <c r="B169" s="139" t="str">
        <f>IF(E169="","",VLOOKUP('Opći dio'!$C$3,'Opći dio'!$L$6:$U$136,9,FALSE))</f>
        <v/>
      </c>
      <c r="C169" s="187" t="str">
        <f t="shared" si="13"/>
        <v/>
      </c>
      <c r="D169" s="138" t="str">
        <f t="shared" si="14"/>
        <v/>
      </c>
      <c r="E169" s="150"/>
      <c r="F169" s="191" t="str">
        <f t="shared" si="15"/>
        <v/>
      </c>
      <c r="G169" s="185"/>
      <c r="H169" s="185"/>
      <c r="I169" s="185"/>
      <c r="K169" s="141" t="str">
        <f t="shared" si="16"/>
        <v/>
      </c>
      <c r="L169" s="141" t="str">
        <f t="shared" si="17"/>
        <v/>
      </c>
    </row>
    <row r="170" spans="1:12">
      <c r="A170" s="139" t="str">
        <f>IF(E170="","",VLOOKUP('Opći dio'!$C$3,'Opći dio'!$L$6:$U$136,10,FALSE))</f>
        <v/>
      </c>
      <c r="B170" s="139" t="str">
        <f>IF(E170="","",VLOOKUP('Opći dio'!$C$3,'Opći dio'!$L$6:$U$136,9,FALSE))</f>
        <v/>
      </c>
      <c r="C170" s="187" t="str">
        <f t="shared" si="13"/>
        <v/>
      </c>
      <c r="D170" s="138" t="str">
        <f t="shared" si="14"/>
        <v/>
      </c>
      <c r="E170" s="150"/>
      <c r="F170" s="191" t="str">
        <f t="shared" si="15"/>
        <v/>
      </c>
      <c r="G170" s="185"/>
      <c r="H170" s="185"/>
      <c r="I170" s="185"/>
      <c r="K170" s="141" t="str">
        <f t="shared" si="16"/>
        <v/>
      </c>
      <c r="L170" s="141" t="str">
        <f t="shared" si="17"/>
        <v/>
      </c>
    </row>
    <row r="171" spans="1:12">
      <c r="A171" s="139" t="str">
        <f>IF(E171="","",VLOOKUP('Opći dio'!$C$3,'Opći dio'!$L$6:$U$136,10,FALSE))</f>
        <v/>
      </c>
      <c r="B171" s="139" t="str">
        <f>IF(E171="","",VLOOKUP('Opći dio'!$C$3,'Opći dio'!$L$6:$U$136,9,FALSE))</f>
        <v/>
      </c>
      <c r="C171" s="187" t="str">
        <f t="shared" si="13"/>
        <v/>
      </c>
      <c r="D171" s="138" t="str">
        <f t="shared" si="14"/>
        <v/>
      </c>
      <c r="E171" s="150"/>
      <c r="F171" s="191" t="str">
        <f t="shared" si="15"/>
        <v/>
      </c>
      <c r="G171" s="185"/>
      <c r="H171" s="185"/>
      <c r="I171" s="185"/>
      <c r="K171" s="141" t="str">
        <f t="shared" si="16"/>
        <v/>
      </c>
      <c r="L171" s="141" t="str">
        <f t="shared" si="17"/>
        <v/>
      </c>
    </row>
    <row r="172" spans="1:12">
      <c r="A172" s="139" t="str">
        <f>IF(E172="","",VLOOKUP('Opći dio'!$C$3,'Opći dio'!$L$6:$U$136,10,FALSE))</f>
        <v/>
      </c>
      <c r="B172" s="139" t="str">
        <f>IF(E172="","",VLOOKUP('Opći dio'!$C$3,'Opći dio'!$L$6:$U$136,9,FALSE))</f>
        <v/>
      </c>
      <c r="C172" s="187" t="str">
        <f t="shared" si="13"/>
        <v/>
      </c>
      <c r="D172" s="138" t="str">
        <f t="shared" si="14"/>
        <v/>
      </c>
      <c r="E172" s="150"/>
      <c r="F172" s="191" t="str">
        <f t="shared" si="15"/>
        <v/>
      </c>
      <c r="G172" s="185"/>
      <c r="H172" s="185"/>
      <c r="I172" s="185"/>
      <c r="K172" s="141" t="str">
        <f t="shared" si="16"/>
        <v/>
      </c>
      <c r="L172" s="141" t="str">
        <f t="shared" si="17"/>
        <v/>
      </c>
    </row>
    <row r="173" spans="1:12">
      <c r="A173" s="139" t="str">
        <f>IF(E173="","",VLOOKUP('Opći dio'!$C$3,'Opći dio'!$L$6:$U$136,10,FALSE))</f>
        <v/>
      </c>
      <c r="B173" s="139" t="str">
        <f>IF(E173="","",VLOOKUP('Opći dio'!$C$3,'Opći dio'!$L$6:$U$136,9,FALSE))</f>
        <v/>
      </c>
      <c r="C173" s="187" t="str">
        <f t="shared" si="13"/>
        <v/>
      </c>
      <c r="D173" s="138" t="str">
        <f t="shared" si="14"/>
        <v/>
      </c>
      <c r="E173" s="150"/>
      <c r="F173" s="191" t="str">
        <f t="shared" si="15"/>
        <v/>
      </c>
      <c r="G173" s="185"/>
      <c r="H173" s="185"/>
      <c r="I173" s="185"/>
      <c r="K173" s="141" t="str">
        <f t="shared" si="16"/>
        <v/>
      </c>
      <c r="L173" s="141" t="str">
        <f t="shared" si="17"/>
        <v/>
      </c>
    </row>
    <row r="174" spans="1:12">
      <c r="A174" s="139" t="str">
        <f>IF(E174="","",VLOOKUP('Opći dio'!$C$3,'Opći dio'!$L$6:$U$136,10,FALSE))</f>
        <v/>
      </c>
      <c r="B174" s="139" t="str">
        <f>IF(E174="","",VLOOKUP('Opći dio'!$C$3,'Opći dio'!$L$6:$U$136,9,FALSE))</f>
        <v/>
      </c>
      <c r="C174" s="187" t="str">
        <f t="shared" si="13"/>
        <v/>
      </c>
      <c r="D174" s="138" t="str">
        <f t="shared" si="14"/>
        <v/>
      </c>
      <c r="E174" s="150"/>
      <c r="F174" s="191" t="str">
        <f t="shared" si="15"/>
        <v/>
      </c>
      <c r="G174" s="185"/>
      <c r="H174" s="185"/>
      <c r="I174" s="185"/>
      <c r="K174" s="141" t="str">
        <f t="shared" si="16"/>
        <v/>
      </c>
      <c r="L174" s="141" t="str">
        <f t="shared" si="17"/>
        <v/>
      </c>
    </row>
    <row r="175" spans="1:12">
      <c r="A175" s="139" t="str">
        <f>IF(E175="","",VLOOKUP('Opći dio'!$C$3,'Opći dio'!$L$6:$U$136,10,FALSE))</f>
        <v/>
      </c>
      <c r="B175" s="139" t="str">
        <f>IF(E175="","",VLOOKUP('Opći dio'!$C$3,'Opći dio'!$L$6:$U$136,9,FALSE))</f>
        <v/>
      </c>
      <c r="C175" s="187" t="str">
        <f t="shared" si="13"/>
        <v/>
      </c>
      <c r="D175" s="138" t="str">
        <f t="shared" si="14"/>
        <v/>
      </c>
      <c r="E175" s="150"/>
      <c r="F175" s="191" t="str">
        <f t="shared" si="15"/>
        <v/>
      </c>
      <c r="G175" s="185"/>
      <c r="H175" s="185"/>
      <c r="I175" s="185"/>
      <c r="K175" s="141" t="str">
        <f t="shared" si="16"/>
        <v/>
      </c>
      <c r="L175" s="141" t="str">
        <f t="shared" si="17"/>
        <v/>
      </c>
    </row>
    <row r="176" spans="1:12">
      <c r="A176" s="139" t="str">
        <f>IF(E176="","",VLOOKUP('Opći dio'!$C$3,'Opći dio'!$L$6:$U$136,10,FALSE))</f>
        <v/>
      </c>
      <c r="B176" s="139" t="str">
        <f>IF(E176="","",VLOOKUP('Opći dio'!$C$3,'Opći dio'!$L$6:$U$136,9,FALSE))</f>
        <v/>
      </c>
      <c r="C176" s="187" t="str">
        <f t="shared" si="13"/>
        <v/>
      </c>
      <c r="D176" s="138" t="str">
        <f t="shared" si="14"/>
        <v/>
      </c>
      <c r="E176" s="150"/>
      <c r="F176" s="191" t="str">
        <f t="shared" si="15"/>
        <v/>
      </c>
      <c r="G176" s="185"/>
      <c r="H176" s="185"/>
      <c r="I176" s="185"/>
      <c r="K176" s="141" t="str">
        <f t="shared" si="16"/>
        <v/>
      </c>
      <c r="L176" s="141" t="str">
        <f t="shared" si="17"/>
        <v/>
      </c>
    </row>
    <row r="177" spans="1:12">
      <c r="A177" s="139" t="str">
        <f>IF(E177="","",VLOOKUP('Opći dio'!$C$3,'Opći dio'!$L$6:$U$136,10,FALSE))</f>
        <v/>
      </c>
      <c r="B177" s="139" t="str">
        <f>IF(E177="","",VLOOKUP('Opći dio'!$C$3,'Opći dio'!$L$6:$U$136,9,FALSE))</f>
        <v/>
      </c>
      <c r="C177" s="187" t="str">
        <f t="shared" si="13"/>
        <v/>
      </c>
      <c r="D177" s="138" t="str">
        <f t="shared" si="14"/>
        <v/>
      </c>
      <c r="E177" s="150"/>
      <c r="F177" s="191" t="str">
        <f t="shared" si="15"/>
        <v/>
      </c>
      <c r="G177" s="185"/>
      <c r="H177" s="185"/>
      <c r="I177" s="185"/>
      <c r="K177" s="141" t="str">
        <f t="shared" si="16"/>
        <v/>
      </c>
      <c r="L177" s="141" t="str">
        <f t="shared" si="17"/>
        <v/>
      </c>
    </row>
    <row r="178" spans="1:12">
      <c r="A178" s="139" t="str">
        <f>IF(E178="","",VLOOKUP('Opći dio'!$C$3,'Opći dio'!$L$6:$U$136,10,FALSE))</f>
        <v/>
      </c>
      <c r="B178" s="139" t="str">
        <f>IF(E178="","",VLOOKUP('Opći dio'!$C$3,'Opći dio'!$L$6:$U$136,9,FALSE))</f>
        <v/>
      </c>
      <c r="C178" s="187" t="str">
        <f t="shared" si="13"/>
        <v/>
      </c>
      <c r="D178" s="138" t="str">
        <f t="shared" si="14"/>
        <v/>
      </c>
      <c r="E178" s="150"/>
      <c r="F178" s="191" t="str">
        <f t="shared" si="15"/>
        <v/>
      </c>
      <c r="G178" s="185"/>
      <c r="H178" s="185"/>
      <c r="I178" s="185"/>
      <c r="K178" s="141" t="str">
        <f t="shared" si="16"/>
        <v/>
      </c>
      <c r="L178" s="141" t="str">
        <f t="shared" si="17"/>
        <v/>
      </c>
    </row>
    <row r="179" spans="1:12">
      <c r="A179" s="139" t="str">
        <f>IF(E179="","",VLOOKUP('Opći dio'!$C$3,'Opći dio'!$L$6:$U$136,10,FALSE))</f>
        <v/>
      </c>
      <c r="B179" s="139" t="str">
        <f>IF(E179="","",VLOOKUP('Opći dio'!$C$3,'Opći dio'!$L$6:$U$136,9,FALSE))</f>
        <v/>
      </c>
      <c r="C179" s="187" t="str">
        <f t="shared" si="13"/>
        <v/>
      </c>
      <c r="D179" s="138" t="str">
        <f t="shared" si="14"/>
        <v/>
      </c>
      <c r="E179" s="150"/>
      <c r="F179" s="191" t="str">
        <f t="shared" si="15"/>
        <v/>
      </c>
      <c r="G179" s="185"/>
      <c r="H179" s="185"/>
      <c r="I179" s="185"/>
      <c r="K179" s="141" t="str">
        <f t="shared" si="16"/>
        <v/>
      </c>
      <c r="L179" s="141" t="str">
        <f t="shared" si="17"/>
        <v/>
      </c>
    </row>
    <row r="180" spans="1:12">
      <c r="A180" s="139" t="str">
        <f>IF(E180="","",VLOOKUP('Opći dio'!$C$3,'Opći dio'!$L$6:$U$136,10,FALSE))</f>
        <v/>
      </c>
      <c r="B180" s="139" t="str">
        <f>IF(E180="","",VLOOKUP('Opći dio'!$C$3,'Opći dio'!$L$6:$U$136,9,FALSE))</f>
        <v/>
      </c>
      <c r="C180" s="187" t="str">
        <f t="shared" si="13"/>
        <v/>
      </c>
      <c r="D180" s="138" t="str">
        <f t="shared" si="14"/>
        <v/>
      </c>
      <c r="E180" s="150"/>
      <c r="F180" s="191" t="str">
        <f t="shared" si="15"/>
        <v/>
      </c>
      <c r="G180" s="185"/>
      <c r="H180" s="185"/>
      <c r="I180" s="185"/>
      <c r="K180" s="141" t="str">
        <f t="shared" si="16"/>
        <v/>
      </c>
      <c r="L180" s="141" t="str">
        <f t="shared" si="17"/>
        <v/>
      </c>
    </row>
    <row r="181" spans="1:12">
      <c r="A181" s="139" t="str">
        <f>IF(E181="","",VLOOKUP('Opći dio'!$C$3,'Opći dio'!$L$6:$U$136,10,FALSE))</f>
        <v/>
      </c>
      <c r="B181" s="139" t="str">
        <f>IF(E181="","",VLOOKUP('Opći dio'!$C$3,'Opći dio'!$L$6:$U$136,9,FALSE))</f>
        <v/>
      </c>
      <c r="C181" s="187" t="str">
        <f t="shared" si="13"/>
        <v/>
      </c>
      <c r="D181" s="138" t="str">
        <f t="shared" si="14"/>
        <v/>
      </c>
      <c r="E181" s="150"/>
      <c r="F181" s="191" t="str">
        <f t="shared" si="15"/>
        <v/>
      </c>
      <c r="G181" s="185"/>
      <c r="H181" s="185"/>
      <c r="I181" s="185"/>
      <c r="K181" s="141" t="str">
        <f t="shared" si="16"/>
        <v/>
      </c>
      <c r="L181" s="141" t="str">
        <f t="shared" si="17"/>
        <v/>
      </c>
    </row>
    <row r="182" spans="1:12">
      <c r="A182" s="139" t="str">
        <f>IF(E182="","",VLOOKUP('Opći dio'!$C$3,'Opći dio'!$L$6:$U$136,10,FALSE))</f>
        <v/>
      </c>
      <c r="B182" s="139" t="str">
        <f>IF(E182="","",VLOOKUP('Opći dio'!$C$3,'Opći dio'!$L$6:$U$136,9,FALSE))</f>
        <v/>
      </c>
      <c r="C182" s="187" t="str">
        <f t="shared" si="13"/>
        <v/>
      </c>
      <c r="D182" s="138" t="str">
        <f t="shared" si="14"/>
        <v/>
      </c>
      <c r="E182" s="150"/>
      <c r="F182" s="191" t="str">
        <f t="shared" si="15"/>
        <v/>
      </c>
      <c r="G182" s="185"/>
      <c r="H182" s="185"/>
      <c r="I182" s="185"/>
      <c r="K182" s="141" t="str">
        <f t="shared" si="16"/>
        <v/>
      </c>
      <c r="L182" s="141" t="str">
        <f t="shared" si="17"/>
        <v/>
      </c>
    </row>
    <row r="183" spans="1:12">
      <c r="A183" s="139" t="str">
        <f>IF(E183="","",VLOOKUP('Opći dio'!$C$3,'Opći dio'!$L$6:$U$136,10,FALSE))</f>
        <v/>
      </c>
      <c r="B183" s="139" t="str">
        <f>IF(E183="","",VLOOKUP('Opći dio'!$C$3,'Opći dio'!$L$6:$U$136,9,FALSE))</f>
        <v/>
      </c>
      <c r="C183" s="187" t="str">
        <f t="shared" si="13"/>
        <v/>
      </c>
      <c r="D183" s="138" t="str">
        <f t="shared" si="14"/>
        <v/>
      </c>
      <c r="E183" s="150"/>
      <c r="F183" s="191" t="str">
        <f t="shared" si="15"/>
        <v/>
      </c>
      <c r="G183" s="185"/>
      <c r="H183" s="185"/>
      <c r="I183" s="185"/>
      <c r="K183" s="141" t="str">
        <f t="shared" si="16"/>
        <v/>
      </c>
      <c r="L183" s="141" t="str">
        <f t="shared" si="17"/>
        <v/>
      </c>
    </row>
    <row r="184" spans="1:12">
      <c r="A184" s="139" t="str">
        <f>IF(E184="","",VLOOKUP('Opći dio'!$C$3,'Opći dio'!$L$6:$U$136,10,FALSE))</f>
        <v/>
      </c>
      <c r="B184" s="139" t="str">
        <f>IF(E184="","",VLOOKUP('Opći dio'!$C$3,'Opći dio'!$L$6:$U$136,9,FALSE))</f>
        <v/>
      </c>
      <c r="C184" s="187" t="str">
        <f t="shared" si="13"/>
        <v/>
      </c>
      <c r="D184" s="138" t="str">
        <f t="shared" si="14"/>
        <v/>
      </c>
      <c r="E184" s="150"/>
      <c r="F184" s="191" t="str">
        <f t="shared" si="15"/>
        <v/>
      </c>
      <c r="G184" s="185"/>
      <c r="H184" s="185"/>
      <c r="I184" s="185"/>
      <c r="K184" s="141" t="str">
        <f t="shared" si="16"/>
        <v/>
      </c>
      <c r="L184" s="141" t="str">
        <f t="shared" si="17"/>
        <v/>
      </c>
    </row>
    <row r="185" spans="1:12">
      <c r="A185" s="139" t="str">
        <f>IF(E185="","",VLOOKUP('Opći dio'!$C$3,'Opći dio'!$L$6:$U$136,10,FALSE))</f>
        <v/>
      </c>
      <c r="B185" s="139" t="str">
        <f>IF(E185="","",VLOOKUP('Opći dio'!$C$3,'Opći dio'!$L$6:$U$136,9,FALSE))</f>
        <v/>
      </c>
      <c r="C185" s="187" t="str">
        <f t="shared" si="13"/>
        <v/>
      </c>
      <c r="D185" s="138" t="str">
        <f t="shared" si="14"/>
        <v/>
      </c>
      <c r="E185" s="150"/>
      <c r="F185" s="191" t="str">
        <f t="shared" si="15"/>
        <v/>
      </c>
      <c r="G185" s="185"/>
      <c r="H185" s="185"/>
      <c r="I185" s="185"/>
      <c r="K185" s="141" t="str">
        <f t="shared" si="16"/>
        <v/>
      </c>
      <c r="L185" s="141" t="str">
        <f t="shared" si="17"/>
        <v/>
      </c>
    </row>
    <row r="186" spans="1:12">
      <c r="A186" s="139" t="str">
        <f>IF(E186="","",VLOOKUP('Opći dio'!$C$3,'Opći dio'!$L$6:$U$136,10,FALSE))</f>
        <v/>
      </c>
      <c r="B186" s="139" t="str">
        <f>IF(E186="","",VLOOKUP('Opći dio'!$C$3,'Opći dio'!$L$6:$U$136,9,FALSE))</f>
        <v/>
      </c>
      <c r="C186" s="187" t="str">
        <f t="shared" si="13"/>
        <v/>
      </c>
      <c r="D186" s="138" t="str">
        <f t="shared" si="14"/>
        <v/>
      </c>
      <c r="E186" s="150"/>
      <c r="F186" s="191" t="str">
        <f t="shared" si="15"/>
        <v/>
      </c>
      <c r="G186" s="185"/>
      <c r="H186" s="185"/>
      <c r="I186" s="185"/>
      <c r="K186" s="141" t="str">
        <f t="shared" si="16"/>
        <v/>
      </c>
      <c r="L186" s="141" t="str">
        <f t="shared" si="17"/>
        <v/>
      </c>
    </row>
    <row r="187" spans="1:12">
      <c r="A187" s="139" t="str">
        <f>IF(E187="","",VLOOKUP('Opći dio'!$C$3,'Opći dio'!$L$6:$U$136,10,FALSE))</f>
        <v/>
      </c>
      <c r="B187" s="139" t="str">
        <f>IF(E187="","",VLOOKUP('Opći dio'!$C$3,'Opći dio'!$L$6:$U$136,9,FALSE))</f>
        <v/>
      </c>
      <c r="C187" s="187" t="str">
        <f t="shared" si="13"/>
        <v/>
      </c>
      <c r="D187" s="138" t="str">
        <f t="shared" si="14"/>
        <v/>
      </c>
      <c r="E187" s="150"/>
      <c r="F187" s="191" t="str">
        <f t="shared" si="15"/>
        <v/>
      </c>
      <c r="G187" s="185"/>
      <c r="H187" s="185"/>
      <c r="I187" s="185"/>
      <c r="K187" s="141" t="str">
        <f t="shared" si="16"/>
        <v/>
      </c>
      <c r="L187" s="141" t="str">
        <f t="shared" si="17"/>
        <v/>
      </c>
    </row>
    <row r="188" spans="1:12">
      <c r="A188" s="139" t="str">
        <f>IF(E188="","",VLOOKUP('Opći dio'!$C$3,'Opći dio'!$L$6:$U$136,10,FALSE))</f>
        <v/>
      </c>
      <c r="B188" s="139" t="str">
        <f>IF(E188="","",VLOOKUP('Opći dio'!$C$3,'Opći dio'!$L$6:$U$136,9,FALSE))</f>
        <v/>
      </c>
      <c r="C188" s="187" t="str">
        <f t="shared" si="13"/>
        <v/>
      </c>
      <c r="D188" s="138" t="str">
        <f t="shared" si="14"/>
        <v/>
      </c>
      <c r="E188" s="150"/>
      <c r="F188" s="191" t="str">
        <f t="shared" si="15"/>
        <v/>
      </c>
      <c r="G188" s="185"/>
      <c r="H188" s="185"/>
      <c r="I188" s="185"/>
      <c r="K188" s="141" t="str">
        <f t="shared" si="16"/>
        <v/>
      </c>
      <c r="L188" s="141" t="str">
        <f t="shared" si="17"/>
        <v/>
      </c>
    </row>
    <row r="189" spans="1:12">
      <c r="A189" s="139" t="str">
        <f>IF(E189="","",VLOOKUP('Opći dio'!$C$3,'Opći dio'!$L$6:$U$136,10,FALSE))</f>
        <v/>
      </c>
      <c r="B189" s="139" t="str">
        <f>IF(E189="","",VLOOKUP('Opći dio'!$C$3,'Opći dio'!$L$6:$U$136,9,FALSE))</f>
        <v/>
      </c>
      <c r="C189" s="187" t="str">
        <f t="shared" si="13"/>
        <v/>
      </c>
      <c r="D189" s="138" t="str">
        <f t="shared" si="14"/>
        <v/>
      </c>
      <c r="E189" s="150"/>
      <c r="F189" s="191" t="str">
        <f t="shared" si="15"/>
        <v/>
      </c>
      <c r="G189" s="185"/>
      <c r="H189" s="185"/>
      <c r="I189" s="185"/>
      <c r="K189" s="141" t="str">
        <f t="shared" si="16"/>
        <v/>
      </c>
      <c r="L189" s="141" t="str">
        <f t="shared" si="17"/>
        <v/>
      </c>
    </row>
    <row r="190" spans="1:12">
      <c r="A190" s="139" t="str">
        <f>IF(E190="","",VLOOKUP('Opći dio'!$C$3,'Opći dio'!$L$6:$U$136,10,FALSE))</f>
        <v/>
      </c>
      <c r="B190" s="139" t="str">
        <f>IF(E190="","",VLOOKUP('Opći dio'!$C$3,'Opći dio'!$L$6:$U$136,9,FALSE))</f>
        <v/>
      </c>
      <c r="C190" s="187" t="str">
        <f t="shared" si="13"/>
        <v/>
      </c>
      <c r="D190" s="138" t="str">
        <f t="shared" si="14"/>
        <v/>
      </c>
      <c r="E190" s="150"/>
      <c r="F190" s="191" t="str">
        <f t="shared" si="15"/>
        <v/>
      </c>
      <c r="G190" s="185"/>
      <c r="H190" s="185"/>
      <c r="I190" s="185"/>
      <c r="K190" s="141" t="str">
        <f t="shared" si="16"/>
        <v/>
      </c>
      <c r="L190" s="141" t="str">
        <f t="shared" si="17"/>
        <v/>
      </c>
    </row>
    <row r="191" spans="1:12">
      <c r="A191" s="139" t="str">
        <f>IF(E191="","",VLOOKUP('Opći dio'!$C$3,'Opći dio'!$L$6:$U$136,10,FALSE))</f>
        <v/>
      </c>
      <c r="B191" s="139" t="str">
        <f>IF(E191="","",VLOOKUP('Opći dio'!$C$3,'Opći dio'!$L$6:$U$136,9,FALSE))</f>
        <v/>
      </c>
      <c r="C191" s="187" t="str">
        <f t="shared" si="13"/>
        <v/>
      </c>
      <c r="D191" s="138" t="str">
        <f t="shared" si="14"/>
        <v/>
      </c>
      <c r="E191" s="150"/>
      <c r="F191" s="191" t="str">
        <f t="shared" si="15"/>
        <v/>
      </c>
      <c r="G191" s="185"/>
      <c r="H191" s="185"/>
      <c r="I191" s="185"/>
      <c r="K191" s="141" t="str">
        <f t="shared" si="16"/>
        <v/>
      </c>
      <c r="L191" s="141" t="str">
        <f t="shared" si="17"/>
        <v/>
      </c>
    </row>
    <row r="192" spans="1:12">
      <c r="A192" s="139" t="str">
        <f>IF(E192="","",VLOOKUP('Opći dio'!$C$3,'Opći dio'!$L$6:$U$136,10,FALSE))</f>
        <v/>
      </c>
      <c r="B192" s="139" t="str">
        <f>IF(E192="","",VLOOKUP('Opći dio'!$C$3,'Opći dio'!$L$6:$U$136,9,FALSE))</f>
        <v/>
      </c>
      <c r="C192" s="187" t="str">
        <f t="shared" si="13"/>
        <v/>
      </c>
      <c r="D192" s="138" t="str">
        <f t="shared" si="14"/>
        <v/>
      </c>
      <c r="E192" s="150"/>
      <c r="F192" s="191" t="str">
        <f t="shared" si="15"/>
        <v/>
      </c>
      <c r="G192" s="185"/>
      <c r="H192" s="185"/>
      <c r="I192" s="185"/>
      <c r="K192" s="141" t="str">
        <f t="shared" si="16"/>
        <v/>
      </c>
      <c r="L192" s="141" t="str">
        <f t="shared" si="17"/>
        <v/>
      </c>
    </row>
    <row r="193" spans="1:12">
      <c r="A193" s="139" t="str">
        <f>IF(E193="","",VLOOKUP('Opći dio'!$C$3,'Opći dio'!$L$6:$U$136,10,FALSE))</f>
        <v/>
      </c>
      <c r="B193" s="139" t="str">
        <f>IF(E193="","",VLOOKUP('Opći dio'!$C$3,'Opći dio'!$L$6:$U$136,9,FALSE))</f>
        <v/>
      </c>
      <c r="C193" s="187" t="str">
        <f t="shared" si="13"/>
        <v/>
      </c>
      <c r="D193" s="138" t="str">
        <f t="shared" si="14"/>
        <v/>
      </c>
      <c r="E193" s="150"/>
      <c r="F193" s="191" t="str">
        <f t="shared" si="15"/>
        <v/>
      </c>
      <c r="G193" s="185"/>
      <c r="H193" s="185"/>
      <c r="I193" s="185"/>
      <c r="K193" s="141" t="str">
        <f t="shared" si="16"/>
        <v/>
      </c>
      <c r="L193" s="141" t="str">
        <f t="shared" si="17"/>
        <v/>
      </c>
    </row>
    <row r="194" spans="1:12">
      <c r="A194" s="139" t="str">
        <f>IF(E194="","",VLOOKUP('Opći dio'!$C$3,'Opći dio'!$L$6:$U$136,10,FALSE))</f>
        <v/>
      </c>
      <c r="B194" s="139" t="str">
        <f>IF(E194="","",VLOOKUP('Opći dio'!$C$3,'Opći dio'!$L$6:$U$136,9,FALSE))</f>
        <v/>
      </c>
      <c r="C194" s="187" t="str">
        <f t="shared" si="13"/>
        <v/>
      </c>
      <c r="D194" s="138" t="str">
        <f t="shared" si="14"/>
        <v/>
      </c>
      <c r="E194" s="150"/>
      <c r="F194" s="191" t="str">
        <f t="shared" si="15"/>
        <v/>
      </c>
      <c r="G194" s="185"/>
      <c r="H194" s="185"/>
      <c r="I194" s="185"/>
      <c r="K194" s="141" t="str">
        <f t="shared" si="16"/>
        <v/>
      </c>
      <c r="L194" s="141" t="str">
        <f t="shared" si="17"/>
        <v/>
      </c>
    </row>
    <row r="195" spans="1:12">
      <c r="A195" s="139" t="str">
        <f>IF(E195="","",VLOOKUP('Opći dio'!$C$3,'Opći dio'!$L$6:$U$136,10,FALSE))</f>
        <v/>
      </c>
      <c r="B195" s="139" t="str">
        <f>IF(E195="","",VLOOKUP('Opći dio'!$C$3,'Opći dio'!$L$6:$U$136,9,FALSE))</f>
        <v/>
      </c>
      <c r="C195" s="187" t="str">
        <f t="shared" si="13"/>
        <v/>
      </c>
      <c r="D195" s="138" t="str">
        <f t="shared" si="14"/>
        <v/>
      </c>
      <c r="E195" s="150"/>
      <c r="F195" s="191" t="str">
        <f t="shared" si="15"/>
        <v/>
      </c>
      <c r="G195" s="185"/>
      <c r="H195" s="185"/>
      <c r="I195" s="185"/>
      <c r="K195" s="141" t="str">
        <f t="shared" si="16"/>
        <v/>
      </c>
      <c r="L195" s="141" t="str">
        <f t="shared" si="17"/>
        <v/>
      </c>
    </row>
    <row r="196" spans="1:12">
      <c r="A196" s="139" t="str">
        <f>IF(E196="","",VLOOKUP('Opći dio'!$C$3,'Opći dio'!$L$6:$U$136,10,FALSE))</f>
        <v/>
      </c>
      <c r="B196" s="139" t="str">
        <f>IF(E196="","",VLOOKUP('Opći dio'!$C$3,'Opći dio'!$L$6:$U$136,9,FALSE))</f>
        <v/>
      </c>
      <c r="C196" s="187" t="str">
        <f t="shared" ref="C196:C259" si="18">IFERROR(VLOOKUP(E196,$Q$6:$T$200,3,FALSE),"")</f>
        <v/>
      </c>
      <c r="D196" s="138" t="str">
        <f t="shared" ref="D196:D259" si="19">IFERROR(VLOOKUP(E196,$Q$6:$T$200,4,FALSE),"")</f>
        <v/>
      </c>
      <c r="E196" s="150"/>
      <c r="F196" s="191" t="str">
        <f t="shared" ref="F196:F259" si="20">IFERROR(VLOOKUP(E196,$Q$6:$T$200,2,FALSE),"")</f>
        <v/>
      </c>
      <c r="G196" s="185"/>
      <c r="H196" s="185"/>
      <c r="I196" s="185"/>
      <c r="K196" s="141" t="str">
        <f t="shared" ref="K196:K259" si="21">LEFT(E196,3)</f>
        <v/>
      </c>
      <c r="L196" s="141" t="str">
        <f t="shared" ref="L196:L259" si="22">LEFT(E196,2)</f>
        <v/>
      </c>
    </row>
    <row r="197" spans="1:12">
      <c r="A197" s="139" t="str">
        <f>IF(E197="","",VLOOKUP('Opći dio'!$C$3,'Opći dio'!$L$6:$U$136,10,FALSE))</f>
        <v/>
      </c>
      <c r="B197" s="139" t="str">
        <f>IF(E197="","",VLOOKUP('Opći dio'!$C$3,'Opći dio'!$L$6:$U$136,9,FALSE))</f>
        <v/>
      </c>
      <c r="C197" s="187" t="str">
        <f t="shared" si="18"/>
        <v/>
      </c>
      <c r="D197" s="138" t="str">
        <f t="shared" si="19"/>
        <v/>
      </c>
      <c r="E197" s="150"/>
      <c r="F197" s="191" t="str">
        <f t="shared" si="20"/>
        <v/>
      </c>
      <c r="G197" s="185"/>
      <c r="H197" s="185"/>
      <c r="I197" s="185"/>
      <c r="K197" s="141" t="str">
        <f t="shared" si="21"/>
        <v/>
      </c>
      <c r="L197" s="141" t="str">
        <f t="shared" si="22"/>
        <v/>
      </c>
    </row>
    <row r="198" spans="1:12">
      <c r="A198" s="139" t="str">
        <f>IF(E198="","",VLOOKUP('Opći dio'!$C$3,'Opći dio'!$L$6:$U$136,10,FALSE))</f>
        <v/>
      </c>
      <c r="B198" s="139" t="str">
        <f>IF(E198="","",VLOOKUP('Opći dio'!$C$3,'Opći dio'!$L$6:$U$136,9,FALSE))</f>
        <v/>
      </c>
      <c r="C198" s="187" t="str">
        <f t="shared" si="18"/>
        <v/>
      </c>
      <c r="D198" s="138" t="str">
        <f t="shared" si="19"/>
        <v/>
      </c>
      <c r="E198" s="150"/>
      <c r="F198" s="191" t="str">
        <f t="shared" si="20"/>
        <v/>
      </c>
      <c r="G198" s="185"/>
      <c r="H198" s="185"/>
      <c r="I198" s="185"/>
      <c r="K198" s="141" t="str">
        <f t="shared" si="21"/>
        <v/>
      </c>
      <c r="L198" s="141" t="str">
        <f t="shared" si="22"/>
        <v/>
      </c>
    </row>
    <row r="199" spans="1:12">
      <c r="A199" s="139" t="str">
        <f>IF(E199="","",VLOOKUP('Opći dio'!$C$3,'Opći dio'!$L$6:$U$136,10,FALSE))</f>
        <v/>
      </c>
      <c r="B199" s="139" t="str">
        <f>IF(E199="","",VLOOKUP('Opći dio'!$C$3,'Opći dio'!$L$6:$U$136,9,FALSE))</f>
        <v/>
      </c>
      <c r="C199" s="187" t="str">
        <f t="shared" si="18"/>
        <v/>
      </c>
      <c r="D199" s="138" t="str">
        <f t="shared" si="19"/>
        <v/>
      </c>
      <c r="E199" s="150"/>
      <c r="F199" s="191" t="str">
        <f t="shared" si="20"/>
        <v/>
      </c>
      <c r="G199" s="185"/>
      <c r="H199" s="185"/>
      <c r="I199" s="185"/>
      <c r="K199" s="141" t="str">
        <f t="shared" si="21"/>
        <v/>
      </c>
      <c r="L199" s="141" t="str">
        <f t="shared" si="22"/>
        <v/>
      </c>
    </row>
    <row r="200" spans="1:12">
      <c r="A200" s="139" t="str">
        <f>IF(E200="","",VLOOKUP('Opći dio'!$C$3,'Opći dio'!$L$6:$U$136,10,FALSE))</f>
        <v/>
      </c>
      <c r="B200" s="139" t="str">
        <f>IF(E200="","",VLOOKUP('Opći dio'!$C$3,'Opći dio'!$L$6:$U$136,9,FALSE))</f>
        <v/>
      </c>
      <c r="C200" s="187" t="str">
        <f t="shared" si="18"/>
        <v/>
      </c>
      <c r="D200" s="138" t="str">
        <f t="shared" si="19"/>
        <v/>
      </c>
      <c r="E200" s="150"/>
      <c r="F200" s="191" t="str">
        <f t="shared" si="20"/>
        <v/>
      </c>
      <c r="G200" s="185"/>
      <c r="H200" s="185"/>
      <c r="I200" s="185"/>
      <c r="K200" s="141" t="str">
        <f t="shared" si="21"/>
        <v/>
      </c>
      <c r="L200" s="141" t="str">
        <f t="shared" si="22"/>
        <v/>
      </c>
    </row>
    <row r="201" spans="1:12">
      <c r="A201" s="139" t="str">
        <f>IF(E201="","",VLOOKUP('Opći dio'!$C$3,'Opći dio'!$L$6:$U$136,10,FALSE))</f>
        <v/>
      </c>
      <c r="B201" s="139" t="str">
        <f>IF(E201="","",VLOOKUP('Opći dio'!$C$3,'Opći dio'!$L$6:$U$136,9,FALSE))</f>
        <v/>
      </c>
      <c r="C201" s="187" t="str">
        <f t="shared" si="18"/>
        <v/>
      </c>
      <c r="D201" s="138" t="str">
        <f t="shared" si="19"/>
        <v/>
      </c>
      <c r="E201" s="150"/>
      <c r="F201" s="191" t="str">
        <f t="shared" si="20"/>
        <v/>
      </c>
      <c r="G201" s="185"/>
      <c r="H201" s="185"/>
      <c r="I201" s="185"/>
      <c r="K201" s="141" t="str">
        <f t="shared" si="21"/>
        <v/>
      </c>
      <c r="L201" s="141" t="str">
        <f t="shared" si="22"/>
        <v/>
      </c>
    </row>
    <row r="202" spans="1:12">
      <c r="A202" s="139" t="str">
        <f>IF(E202="","",VLOOKUP('Opći dio'!$C$3,'Opći dio'!$L$6:$U$136,10,FALSE))</f>
        <v/>
      </c>
      <c r="B202" s="139" t="str">
        <f>IF(E202="","",VLOOKUP('Opći dio'!$C$3,'Opći dio'!$L$6:$U$136,9,FALSE))</f>
        <v/>
      </c>
      <c r="C202" s="187" t="str">
        <f t="shared" si="18"/>
        <v/>
      </c>
      <c r="D202" s="138" t="str">
        <f t="shared" si="19"/>
        <v/>
      </c>
      <c r="E202" s="150"/>
      <c r="F202" s="191" t="str">
        <f t="shared" si="20"/>
        <v/>
      </c>
      <c r="G202" s="185"/>
      <c r="H202" s="185"/>
      <c r="I202" s="185"/>
      <c r="K202" s="141" t="str">
        <f t="shared" si="21"/>
        <v/>
      </c>
      <c r="L202" s="141" t="str">
        <f t="shared" si="22"/>
        <v/>
      </c>
    </row>
    <row r="203" spans="1:12">
      <c r="A203" s="139" t="str">
        <f>IF(E203="","",VLOOKUP('Opći dio'!$C$3,'Opći dio'!$L$6:$U$136,10,FALSE))</f>
        <v/>
      </c>
      <c r="B203" s="139" t="str">
        <f>IF(E203="","",VLOOKUP('Opći dio'!$C$3,'Opći dio'!$L$6:$U$136,9,FALSE))</f>
        <v/>
      </c>
      <c r="C203" s="187" t="str">
        <f t="shared" si="18"/>
        <v/>
      </c>
      <c r="D203" s="138" t="str">
        <f t="shared" si="19"/>
        <v/>
      </c>
      <c r="E203" s="150"/>
      <c r="F203" s="191" t="str">
        <f t="shared" si="20"/>
        <v/>
      </c>
      <c r="G203" s="185"/>
      <c r="H203" s="185"/>
      <c r="I203" s="185"/>
      <c r="K203" s="141" t="str">
        <f t="shared" si="21"/>
        <v/>
      </c>
      <c r="L203" s="141" t="str">
        <f t="shared" si="22"/>
        <v/>
      </c>
    </row>
    <row r="204" spans="1:12">
      <c r="A204" s="139" t="str">
        <f>IF(E204="","",VLOOKUP('Opći dio'!$C$3,'Opći dio'!$L$6:$U$136,10,FALSE))</f>
        <v/>
      </c>
      <c r="B204" s="139" t="str">
        <f>IF(E204="","",VLOOKUP('Opći dio'!$C$3,'Opći dio'!$L$6:$U$136,9,FALSE))</f>
        <v/>
      </c>
      <c r="C204" s="187" t="str">
        <f t="shared" si="18"/>
        <v/>
      </c>
      <c r="D204" s="138" t="str">
        <f t="shared" si="19"/>
        <v/>
      </c>
      <c r="E204" s="150"/>
      <c r="F204" s="191" t="str">
        <f t="shared" si="20"/>
        <v/>
      </c>
      <c r="G204" s="185"/>
      <c r="H204" s="185"/>
      <c r="I204" s="185"/>
      <c r="K204" s="141" t="str">
        <f t="shared" si="21"/>
        <v/>
      </c>
      <c r="L204" s="141" t="str">
        <f t="shared" si="22"/>
        <v/>
      </c>
    </row>
    <row r="205" spans="1:12">
      <c r="A205" s="139" t="str">
        <f>IF(E205="","",VLOOKUP('Opći dio'!$C$3,'Opći dio'!$L$6:$U$136,10,FALSE))</f>
        <v/>
      </c>
      <c r="B205" s="139" t="str">
        <f>IF(E205="","",VLOOKUP('Opći dio'!$C$3,'Opći dio'!$L$6:$U$136,9,FALSE))</f>
        <v/>
      </c>
      <c r="C205" s="187" t="str">
        <f t="shared" si="18"/>
        <v/>
      </c>
      <c r="D205" s="138" t="str">
        <f t="shared" si="19"/>
        <v/>
      </c>
      <c r="E205" s="150"/>
      <c r="F205" s="191" t="str">
        <f t="shared" si="20"/>
        <v/>
      </c>
      <c r="G205" s="185"/>
      <c r="H205" s="185"/>
      <c r="I205" s="185"/>
      <c r="K205" s="141" t="str">
        <f t="shared" si="21"/>
        <v/>
      </c>
      <c r="L205" s="141" t="str">
        <f t="shared" si="22"/>
        <v/>
      </c>
    </row>
    <row r="206" spans="1:12">
      <c r="A206" s="139" t="str">
        <f>IF(E206="","",VLOOKUP('Opći dio'!$C$3,'Opći dio'!$L$6:$U$136,10,FALSE))</f>
        <v/>
      </c>
      <c r="B206" s="139" t="str">
        <f>IF(E206="","",VLOOKUP('Opći dio'!$C$3,'Opći dio'!$L$6:$U$136,9,FALSE))</f>
        <v/>
      </c>
      <c r="C206" s="187" t="str">
        <f t="shared" si="18"/>
        <v/>
      </c>
      <c r="D206" s="138" t="str">
        <f t="shared" si="19"/>
        <v/>
      </c>
      <c r="E206" s="150"/>
      <c r="F206" s="191" t="str">
        <f t="shared" si="20"/>
        <v/>
      </c>
      <c r="G206" s="185"/>
      <c r="H206" s="185"/>
      <c r="I206" s="185"/>
      <c r="K206" s="141" t="str">
        <f t="shared" si="21"/>
        <v/>
      </c>
      <c r="L206" s="141" t="str">
        <f t="shared" si="22"/>
        <v/>
      </c>
    </row>
    <row r="207" spans="1:12">
      <c r="A207" s="139" t="str">
        <f>IF(E207="","",VLOOKUP('Opći dio'!$C$3,'Opći dio'!$L$6:$U$136,10,FALSE))</f>
        <v/>
      </c>
      <c r="B207" s="139" t="str">
        <f>IF(E207="","",VLOOKUP('Opći dio'!$C$3,'Opći dio'!$L$6:$U$136,9,FALSE))</f>
        <v/>
      </c>
      <c r="C207" s="187" t="str">
        <f t="shared" si="18"/>
        <v/>
      </c>
      <c r="D207" s="138" t="str">
        <f t="shared" si="19"/>
        <v/>
      </c>
      <c r="E207" s="150"/>
      <c r="F207" s="191" t="str">
        <f t="shared" si="20"/>
        <v/>
      </c>
      <c r="G207" s="185"/>
      <c r="H207" s="185"/>
      <c r="I207" s="185"/>
      <c r="K207" s="141" t="str">
        <f t="shared" si="21"/>
        <v/>
      </c>
      <c r="L207" s="141" t="str">
        <f t="shared" si="22"/>
        <v/>
      </c>
    </row>
    <row r="208" spans="1:12">
      <c r="A208" s="139" t="str">
        <f>IF(E208="","",VLOOKUP('Opći dio'!$C$3,'Opći dio'!$L$6:$U$136,10,FALSE))</f>
        <v/>
      </c>
      <c r="B208" s="139" t="str">
        <f>IF(E208="","",VLOOKUP('Opći dio'!$C$3,'Opći dio'!$L$6:$U$136,9,FALSE))</f>
        <v/>
      </c>
      <c r="C208" s="187" t="str">
        <f t="shared" si="18"/>
        <v/>
      </c>
      <c r="D208" s="138" t="str">
        <f t="shared" si="19"/>
        <v/>
      </c>
      <c r="E208" s="150"/>
      <c r="F208" s="191" t="str">
        <f t="shared" si="20"/>
        <v/>
      </c>
      <c r="G208" s="185"/>
      <c r="H208" s="185"/>
      <c r="I208" s="185"/>
      <c r="K208" s="141" t="str">
        <f t="shared" si="21"/>
        <v/>
      </c>
      <c r="L208" s="141" t="str">
        <f t="shared" si="22"/>
        <v/>
      </c>
    </row>
    <row r="209" spans="1:12">
      <c r="A209" s="139" t="str">
        <f>IF(E209="","",VLOOKUP('Opći dio'!$C$3,'Opći dio'!$L$6:$U$136,10,FALSE))</f>
        <v/>
      </c>
      <c r="B209" s="139" t="str">
        <f>IF(E209="","",VLOOKUP('Opći dio'!$C$3,'Opći dio'!$L$6:$U$136,9,FALSE))</f>
        <v/>
      </c>
      <c r="C209" s="187" t="str">
        <f t="shared" si="18"/>
        <v/>
      </c>
      <c r="D209" s="138" t="str">
        <f t="shared" si="19"/>
        <v/>
      </c>
      <c r="E209" s="150"/>
      <c r="F209" s="191" t="str">
        <f t="shared" si="20"/>
        <v/>
      </c>
      <c r="G209" s="185"/>
      <c r="H209" s="185"/>
      <c r="I209" s="185"/>
      <c r="K209" s="141" t="str">
        <f t="shared" si="21"/>
        <v/>
      </c>
      <c r="L209" s="141" t="str">
        <f t="shared" si="22"/>
        <v/>
      </c>
    </row>
    <row r="210" spans="1:12">
      <c r="A210" s="139" t="str">
        <f>IF(E210="","",VLOOKUP('Opći dio'!$C$3,'Opći dio'!$L$6:$U$136,10,FALSE))</f>
        <v/>
      </c>
      <c r="B210" s="139" t="str">
        <f>IF(E210="","",VLOOKUP('Opći dio'!$C$3,'Opći dio'!$L$6:$U$136,9,FALSE))</f>
        <v/>
      </c>
      <c r="C210" s="187" t="str">
        <f t="shared" si="18"/>
        <v/>
      </c>
      <c r="D210" s="138" t="str">
        <f t="shared" si="19"/>
        <v/>
      </c>
      <c r="E210" s="150"/>
      <c r="F210" s="191" t="str">
        <f t="shared" si="20"/>
        <v/>
      </c>
      <c r="G210" s="185"/>
      <c r="H210" s="185"/>
      <c r="I210" s="185"/>
      <c r="K210" s="141" t="str">
        <f t="shared" si="21"/>
        <v/>
      </c>
      <c r="L210" s="141" t="str">
        <f t="shared" si="22"/>
        <v/>
      </c>
    </row>
    <row r="211" spans="1:12">
      <c r="A211" s="139" t="str">
        <f>IF(E211="","",VLOOKUP('Opći dio'!$C$3,'Opći dio'!$L$6:$U$136,10,FALSE))</f>
        <v/>
      </c>
      <c r="B211" s="139" t="str">
        <f>IF(E211="","",VLOOKUP('Opći dio'!$C$3,'Opći dio'!$L$6:$U$136,9,FALSE))</f>
        <v/>
      </c>
      <c r="C211" s="187" t="str">
        <f t="shared" si="18"/>
        <v/>
      </c>
      <c r="D211" s="138" t="str">
        <f t="shared" si="19"/>
        <v/>
      </c>
      <c r="E211" s="150"/>
      <c r="F211" s="191" t="str">
        <f t="shared" si="20"/>
        <v/>
      </c>
      <c r="G211" s="185"/>
      <c r="H211" s="185"/>
      <c r="I211" s="185"/>
      <c r="K211" s="141" t="str">
        <f t="shared" si="21"/>
        <v/>
      </c>
      <c r="L211" s="141" t="str">
        <f t="shared" si="22"/>
        <v/>
      </c>
    </row>
    <row r="212" spans="1:12">
      <c r="A212" s="139" t="str">
        <f>IF(E212="","",VLOOKUP('Opći dio'!$C$3,'Opći dio'!$L$6:$U$136,10,FALSE))</f>
        <v/>
      </c>
      <c r="B212" s="139" t="str">
        <f>IF(E212="","",VLOOKUP('Opći dio'!$C$3,'Opći dio'!$L$6:$U$136,9,FALSE))</f>
        <v/>
      </c>
      <c r="C212" s="187" t="str">
        <f t="shared" si="18"/>
        <v/>
      </c>
      <c r="D212" s="138" t="str">
        <f t="shared" si="19"/>
        <v/>
      </c>
      <c r="E212" s="150"/>
      <c r="F212" s="191" t="str">
        <f t="shared" si="20"/>
        <v/>
      </c>
      <c r="G212" s="185"/>
      <c r="H212" s="185"/>
      <c r="I212" s="185"/>
      <c r="K212" s="141" t="str">
        <f t="shared" si="21"/>
        <v/>
      </c>
      <c r="L212" s="141" t="str">
        <f t="shared" si="22"/>
        <v/>
      </c>
    </row>
    <row r="213" spans="1:12">
      <c r="A213" s="139" t="str">
        <f>IF(E213="","",VLOOKUP('Opći dio'!$C$3,'Opći dio'!$L$6:$U$136,10,FALSE))</f>
        <v/>
      </c>
      <c r="B213" s="139" t="str">
        <f>IF(E213="","",VLOOKUP('Opći dio'!$C$3,'Opći dio'!$L$6:$U$136,9,FALSE))</f>
        <v/>
      </c>
      <c r="C213" s="187" t="str">
        <f t="shared" si="18"/>
        <v/>
      </c>
      <c r="D213" s="138" t="str">
        <f t="shared" si="19"/>
        <v/>
      </c>
      <c r="E213" s="150"/>
      <c r="F213" s="191" t="str">
        <f t="shared" si="20"/>
        <v/>
      </c>
      <c r="G213" s="185"/>
      <c r="H213" s="185"/>
      <c r="I213" s="185"/>
      <c r="K213" s="141" t="str">
        <f t="shared" si="21"/>
        <v/>
      </c>
      <c r="L213" s="141" t="str">
        <f t="shared" si="22"/>
        <v/>
      </c>
    </row>
    <row r="214" spans="1:12">
      <c r="A214" s="139" t="str">
        <f>IF(E214="","",VLOOKUP('Opći dio'!$C$3,'Opći dio'!$L$6:$U$136,10,FALSE))</f>
        <v/>
      </c>
      <c r="B214" s="139" t="str">
        <f>IF(E214="","",VLOOKUP('Opći dio'!$C$3,'Opći dio'!$L$6:$U$136,9,FALSE))</f>
        <v/>
      </c>
      <c r="C214" s="187" t="str">
        <f t="shared" si="18"/>
        <v/>
      </c>
      <c r="D214" s="138" t="str">
        <f t="shared" si="19"/>
        <v/>
      </c>
      <c r="E214" s="150"/>
      <c r="F214" s="191" t="str">
        <f t="shared" si="20"/>
        <v/>
      </c>
      <c r="G214" s="185"/>
      <c r="H214" s="185"/>
      <c r="I214" s="185"/>
      <c r="K214" s="141" t="str">
        <f t="shared" si="21"/>
        <v/>
      </c>
      <c r="L214" s="141" t="str">
        <f t="shared" si="22"/>
        <v/>
      </c>
    </row>
    <row r="215" spans="1:12">
      <c r="A215" s="139" t="str">
        <f>IF(E215="","",VLOOKUP('Opći dio'!$C$3,'Opći dio'!$L$6:$U$136,10,FALSE))</f>
        <v/>
      </c>
      <c r="B215" s="139" t="str">
        <f>IF(E215="","",VLOOKUP('Opći dio'!$C$3,'Opći dio'!$L$6:$U$136,9,FALSE))</f>
        <v/>
      </c>
      <c r="C215" s="187" t="str">
        <f t="shared" si="18"/>
        <v/>
      </c>
      <c r="D215" s="138" t="str">
        <f t="shared" si="19"/>
        <v/>
      </c>
      <c r="E215" s="150"/>
      <c r="F215" s="191" t="str">
        <f t="shared" si="20"/>
        <v/>
      </c>
      <c r="G215" s="185"/>
      <c r="H215" s="185"/>
      <c r="I215" s="185"/>
      <c r="K215" s="141" t="str">
        <f t="shared" si="21"/>
        <v/>
      </c>
      <c r="L215" s="141" t="str">
        <f t="shared" si="22"/>
        <v/>
      </c>
    </row>
    <row r="216" spans="1:12">
      <c r="A216" s="139" t="str">
        <f>IF(E216="","",VLOOKUP('Opći dio'!$C$3,'Opći dio'!$L$6:$U$136,10,FALSE))</f>
        <v/>
      </c>
      <c r="B216" s="139" t="str">
        <f>IF(E216="","",VLOOKUP('Opći dio'!$C$3,'Opći dio'!$L$6:$U$136,9,FALSE))</f>
        <v/>
      </c>
      <c r="C216" s="187" t="str">
        <f t="shared" si="18"/>
        <v/>
      </c>
      <c r="D216" s="138" t="str">
        <f t="shared" si="19"/>
        <v/>
      </c>
      <c r="E216" s="150"/>
      <c r="F216" s="191" t="str">
        <f t="shared" si="20"/>
        <v/>
      </c>
      <c r="G216" s="185"/>
      <c r="H216" s="185"/>
      <c r="I216" s="185"/>
      <c r="K216" s="141" t="str">
        <f t="shared" si="21"/>
        <v/>
      </c>
      <c r="L216" s="141" t="str">
        <f t="shared" si="22"/>
        <v/>
      </c>
    </row>
    <row r="217" spans="1:12">
      <c r="A217" s="139" t="str">
        <f>IF(E217="","",VLOOKUP('Opći dio'!$C$3,'Opći dio'!$L$6:$U$136,10,FALSE))</f>
        <v/>
      </c>
      <c r="B217" s="139" t="str">
        <f>IF(E217="","",VLOOKUP('Opći dio'!$C$3,'Opći dio'!$L$6:$U$136,9,FALSE))</f>
        <v/>
      </c>
      <c r="C217" s="187" t="str">
        <f t="shared" si="18"/>
        <v/>
      </c>
      <c r="D217" s="138" t="str">
        <f t="shared" si="19"/>
        <v/>
      </c>
      <c r="E217" s="150"/>
      <c r="F217" s="191" t="str">
        <f t="shared" si="20"/>
        <v/>
      </c>
      <c r="G217" s="185"/>
      <c r="H217" s="185"/>
      <c r="I217" s="185"/>
      <c r="K217" s="141" t="str">
        <f t="shared" si="21"/>
        <v/>
      </c>
      <c r="L217" s="141" t="str">
        <f t="shared" si="22"/>
        <v/>
      </c>
    </row>
    <row r="218" spans="1:12">
      <c r="A218" s="139" t="str">
        <f>IF(E218="","",VLOOKUP('Opći dio'!$C$3,'Opći dio'!$L$6:$U$136,10,FALSE))</f>
        <v/>
      </c>
      <c r="B218" s="139" t="str">
        <f>IF(E218="","",VLOOKUP('Opći dio'!$C$3,'Opći dio'!$L$6:$U$136,9,FALSE))</f>
        <v/>
      </c>
      <c r="C218" s="187" t="str">
        <f t="shared" si="18"/>
        <v/>
      </c>
      <c r="D218" s="138" t="str">
        <f t="shared" si="19"/>
        <v/>
      </c>
      <c r="E218" s="150"/>
      <c r="F218" s="191" t="str">
        <f t="shared" si="20"/>
        <v/>
      </c>
      <c r="G218" s="185"/>
      <c r="H218" s="185"/>
      <c r="I218" s="185"/>
      <c r="K218" s="141" t="str">
        <f t="shared" si="21"/>
        <v/>
      </c>
      <c r="L218" s="141" t="str">
        <f t="shared" si="22"/>
        <v/>
      </c>
    </row>
    <row r="219" spans="1:12">
      <c r="A219" s="139" t="str">
        <f>IF(E219="","",VLOOKUP('Opći dio'!$C$3,'Opći dio'!$L$6:$U$136,10,FALSE))</f>
        <v/>
      </c>
      <c r="B219" s="139" t="str">
        <f>IF(E219="","",VLOOKUP('Opći dio'!$C$3,'Opći dio'!$L$6:$U$136,9,FALSE))</f>
        <v/>
      </c>
      <c r="C219" s="187" t="str">
        <f t="shared" si="18"/>
        <v/>
      </c>
      <c r="D219" s="138" t="str">
        <f t="shared" si="19"/>
        <v/>
      </c>
      <c r="E219" s="150"/>
      <c r="F219" s="191" t="str">
        <f t="shared" si="20"/>
        <v/>
      </c>
      <c r="G219" s="185"/>
      <c r="H219" s="185"/>
      <c r="I219" s="185"/>
      <c r="K219" s="141" t="str">
        <f t="shared" si="21"/>
        <v/>
      </c>
      <c r="L219" s="141" t="str">
        <f t="shared" si="22"/>
        <v/>
      </c>
    </row>
    <row r="220" spans="1:12">
      <c r="A220" s="139" t="str">
        <f>IF(E220="","",VLOOKUP('Opći dio'!$C$3,'Opći dio'!$L$6:$U$136,10,FALSE))</f>
        <v/>
      </c>
      <c r="B220" s="139" t="str">
        <f>IF(E220="","",VLOOKUP('Opći dio'!$C$3,'Opći dio'!$L$6:$U$136,9,FALSE))</f>
        <v/>
      </c>
      <c r="C220" s="187" t="str">
        <f t="shared" si="18"/>
        <v/>
      </c>
      <c r="D220" s="138" t="str">
        <f t="shared" si="19"/>
        <v/>
      </c>
      <c r="E220" s="150"/>
      <c r="F220" s="191" t="str">
        <f t="shared" si="20"/>
        <v/>
      </c>
      <c r="G220" s="185"/>
      <c r="H220" s="185"/>
      <c r="I220" s="185"/>
      <c r="K220" s="141" t="str">
        <f t="shared" si="21"/>
        <v/>
      </c>
      <c r="L220" s="141" t="str">
        <f t="shared" si="22"/>
        <v/>
      </c>
    </row>
    <row r="221" spans="1:12">
      <c r="A221" s="139" t="str">
        <f>IF(E221="","",VLOOKUP('Opći dio'!$C$3,'Opći dio'!$L$6:$U$136,10,FALSE))</f>
        <v/>
      </c>
      <c r="B221" s="139" t="str">
        <f>IF(E221="","",VLOOKUP('Opći dio'!$C$3,'Opći dio'!$L$6:$U$136,9,FALSE))</f>
        <v/>
      </c>
      <c r="C221" s="187" t="str">
        <f t="shared" si="18"/>
        <v/>
      </c>
      <c r="D221" s="138" t="str">
        <f t="shared" si="19"/>
        <v/>
      </c>
      <c r="E221" s="150"/>
      <c r="F221" s="191" t="str">
        <f t="shared" si="20"/>
        <v/>
      </c>
      <c r="G221" s="185"/>
      <c r="H221" s="185"/>
      <c r="I221" s="185"/>
      <c r="K221" s="141" t="str">
        <f t="shared" si="21"/>
        <v/>
      </c>
      <c r="L221" s="141" t="str">
        <f t="shared" si="22"/>
        <v/>
      </c>
    </row>
    <row r="222" spans="1:12">
      <c r="A222" s="139" t="str">
        <f>IF(E222="","",VLOOKUP('Opći dio'!$C$3,'Opći dio'!$L$6:$U$136,10,FALSE))</f>
        <v/>
      </c>
      <c r="B222" s="139" t="str">
        <f>IF(E222="","",VLOOKUP('Opći dio'!$C$3,'Opći dio'!$L$6:$U$136,9,FALSE))</f>
        <v/>
      </c>
      <c r="C222" s="187" t="str">
        <f t="shared" si="18"/>
        <v/>
      </c>
      <c r="D222" s="138" t="str">
        <f t="shared" si="19"/>
        <v/>
      </c>
      <c r="E222" s="150"/>
      <c r="F222" s="191" t="str">
        <f t="shared" si="20"/>
        <v/>
      </c>
      <c r="G222" s="185"/>
      <c r="H222" s="185"/>
      <c r="I222" s="185"/>
      <c r="K222" s="141" t="str">
        <f t="shared" si="21"/>
        <v/>
      </c>
      <c r="L222" s="141" t="str">
        <f t="shared" si="22"/>
        <v/>
      </c>
    </row>
    <row r="223" spans="1:12">
      <c r="A223" s="139" t="str">
        <f>IF(E223="","",VLOOKUP('Opći dio'!$C$3,'Opći dio'!$L$6:$U$136,10,FALSE))</f>
        <v/>
      </c>
      <c r="B223" s="139" t="str">
        <f>IF(E223="","",VLOOKUP('Opći dio'!$C$3,'Opći dio'!$L$6:$U$136,9,FALSE))</f>
        <v/>
      </c>
      <c r="C223" s="187" t="str">
        <f t="shared" si="18"/>
        <v/>
      </c>
      <c r="D223" s="138" t="str">
        <f t="shared" si="19"/>
        <v/>
      </c>
      <c r="E223" s="150"/>
      <c r="F223" s="191" t="str">
        <f t="shared" si="20"/>
        <v/>
      </c>
      <c r="G223" s="185"/>
      <c r="H223" s="185"/>
      <c r="I223" s="185"/>
      <c r="K223" s="141" t="str">
        <f t="shared" si="21"/>
        <v/>
      </c>
      <c r="L223" s="141" t="str">
        <f t="shared" si="22"/>
        <v/>
      </c>
    </row>
    <row r="224" spans="1:12">
      <c r="A224" s="139" t="str">
        <f>IF(E224="","",VLOOKUP('Opći dio'!$C$3,'Opći dio'!$L$6:$U$136,10,FALSE))</f>
        <v/>
      </c>
      <c r="B224" s="139" t="str">
        <f>IF(E224="","",VLOOKUP('Opći dio'!$C$3,'Opći dio'!$L$6:$U$136,9,FALSE))</f>
        <v/>
      </c>
      <c r="C224" s="187" t="str">
        <f t="shared" si="18"/>
        <v/>
      </c>
      <c r="D224" s="138" t="str">
        <f t="shared" si="19"/>
        <v/>
      </c>
      <c r="E224" s="150"/>
      <c r="F224" s="191" t="str">
        <f t="shared" si="20"/>
        <v/>
      </c>
      <c r="G224" s="185"/>
      <c r="H224" s="185"/>
      <c r="I224" s="185"/>
      <c r="K224" s="141" t="str">
        <f t="shared" si="21"/>
        <v/>
      </c>
      <c r="L224" s="141" t="str">
        <f t="shared" si="22"/>
        <v/>
      </c>
    </row>
    <row r="225" spans="1:12">
      <c r="A225" s="139" t="str">
        <f>IF(E225="","",VLOOKUP('Opći dio'!$C$3,'Opći dio'!$L$6:$U$136,10,FALSE))</f>
        <v/>
      </c>
      <c r="B225" s="139" t="str">
        <f>IF(E225="","",VLOOKUP('Opći dio'!$C$3,'Opći dio'!$L$6:$U$136,9,FALSE))</f>
        <v/>
      </c>
      <c r="C225" s="187" t="str">
        <f t="shared" si="18"/>
        <v/>
      </c>
      <c r="D225" s="138" t="str">
        <f t="shared" si="19"/>
        <v/>
      </c>
      <c r="E225" s="150"/>
      <c r="F225" s="191" t="str">
        <f t="shared" si="20"/>
        <v/>
      </c>
      <c r="G225" s="185"/>
      <c r="H225" s="185"/>
      <c r="I225" s="185"/>
      <c r="K225" s="141" t="str">
        <f t="shared" si="21"/>
        <v/>
      </c>
      <c r="L225" s="141" t="str">
        <f t="shared" si="22"/>
        <v/>
      </c>
    </row>
    <row r="226" spans="1:12">
      <c r="A226" s="139" t="str">
        <f>IF(E226="","",VLOOKUP('Opći dio'!$C$3,'Opći dio'!$L$6:$U$136,10,FALSE))</f>
        <v/>
      </c>
      <c r="B226" s="139" t="str">
        <f>IF(E226="","",VLOOKUP('Opći dio'!$C$3,'Opći dio'!$L$6:$U$136,9,FALSE))</f>
        <v/>
      </c>
      <c r="C226" s="187" t="str">
        <f t="shared" si="18"/>
        <v/>
      </c>
      <c r="D226" s="138" t="str">
        <f t="shared" si="19"/>
        <v/>
      </c>
      <c r="E226" s="150"/>
      <c r="F226" s="191" t="str">
        <f t="shared" si="20"/>
        <v/>
      </c>
      <c r="G226" s="185"/>
      <c r="H226" s="185"/>
      <c r="I226" s="185"/>
      <c r="K226" s="141" t="str">
        <f t="shared" si="21"/>
        <v/>
      </c>
      <c r="L226" s="141" t="str">
        <f t="shared" si="22"/>
        <v/>
      </c>
    </row>
    <row r="227" spans="1:12">
      <c r="A227" s="139" t="str">
        <f>IF(E227="","",VLOOKUP('Opći dio'!$C$3,'Opći dio'!$L$6:$U$136,10,FALSE))</f>
        <v/>
      </c>
      <c r="B227" s="139" t="str">
        <f>IF(E227="","",VLOOKUP('Opći dio'!$C$3,'Opći dio'!$L$6:$U$136,9,FALSE))</f>
        <v/>
      </c>
      <c r="C227" s="187" t="str">
        <f t="shared" si="18"/>
        <v/>
      </c>
      <c r="D227" s="138" t="str">
        <f t="shared" si="19"/>
        <v/>
      </c>
      <c r="E227" s="150"/>
      <c r="F227" s="191" t="str">
        <f t="shared" si="20"/>
        <v/>
      </c>
      <c r="G227" s="185"/>
      <c r="H227" s="185"/>
      <c r="I227" s="185"/>
      <c r="K227" s="141" t="str">
        <f t="shared" si="21"/>
        <v/>
      </c>
      <c r="L227" s="141" t="str">
        <f t="shared" si="22"/>
        <v/>
      </c>
    </row>
    <row r="228" spans="1:12">
      <c r="A228" s="139" t="str">
        <f>IF(E228="","",VLOOKUP('Opći dio'!$C$3,'Opći dio'!$L$6:$U$136,10,FALSE))</f>
        <v/>
      </c>
      <c r="B228" s="139" t="str">
        <f>IF(E228="","",VLOOKUP('Opći dio'!$C$3,'Opći dio'!$L$6:$U$136,9,FALSE))</f>
        <v/>
      </c>
      <c r="C228" s="187" t="str">
        <f t="shared" si="18"/>
        <v/>
      </c>
      <c r="D228" s="138" t="str">
        <f t="shared" si="19"/>
        <v/>
      </c>
      <c r="E228" s="150"/>
      <c r="F228" s="191" t="str">
        <f t="shared" si="20"/>
        <v/>
      </c>
      <c r="G228" s="185"/>
      <c r="H228" s="185"/>
      <c r="I228" s="185"/>
      <c r="K228" s="141" t="str">
        <f t="shared" si="21"/>
        <v/>
      </c>
      <c r="L228" s="141" t="str">
        <f t="shared" si="22"/>
        <v/>
      </c>
    </row>
    <row r="229" spans="1:12">
      <c r="A229" s="139" t="str">
        <f>IF(E229="","",VLOOKUP('Opći dio'!$C$3,'Opći dio'!$L$6:$U$136,10,FALSE))</f>
        <v/>
      </c>
      <c r="B229" s="139" t="str">
        <f>IF(E229="","",VLOOKUP('Opći dio'!$C$3,'Opći dio'!$L$6:$U$136,9,FALSE))</f>
        <v/>
      </c>
      <c r="C229" s="187" t="str">
        <f t="shared" si="18"/>
        <v/>
      </c>
      <c r="D229" s="138" t="str">
        <f t="shared" si="19"/>
        <v/>
      </c>
      <c r="E229" s="150"/>
      <c r="F229" s="191" t="str">
        <f t="shared" si="20"/>
        <v/>
      </c>
      <c r="G229" s="185"/>
      <c r="H229" s="185"/>
      <c r="I229" s="185"/>
      <c r="K229" s="141" t="str">
        <f t="shared" si="21"/>
        <v/>
      </c>
      <c r="L229" s="141" t="str">
        <f t="shared" si="22"/>
        <v/>
      </c>
    </row>
    <row r="230" spans="1:12">
      <c r="A230" s="139" t="str">
        <f>IF(E230="","",VLOOKUP('Opći dio'!$C$3,'Opći dio'!$L$6:$U$136,10,FALSE))</f>
        <v/>
      </c>
      <c r="B230" s="139" t="str">
        <f>IF(E230="","",VLOOKUP('Opći dio'!$C$3,'Opći dio'!$L$6:$U$136,9,FALSE))</f>
        <v/>
      </c>
      <c r="C230" s="187" t="str">
        <f t="shared" si="18"/>
        <v/>
      </c>
      <c r="D230" s="138" t="str">
        <f t="shared" si="19"/>
        <v/>
      </c>
      <c r="E230" s="150"/>
      <c r="F230" s="191" t="str">
        <f t="shared" si="20"/>
        <v/>
      </c>
      <c r="G230" s="185"/>
      <c r="H230" s="185"/>
      <c r="I230" s="185"/>
      <c r="K230" s="141" t="str">
        <f t="shared" si="21"/>
        <v/>
      </c>
      <c r="L230" s="141" t="str">
        <f t="shared" si="22"/>
        <v/>
      </c>
    </row>
    <row r="231" spans="1:12">
      <c r="A231" s="139" t="str">
        <f>IF(E231="","",VLOOKUP('Opći dio'!$C$3,'Opći dio'!$L$6:$U$136,10,FALSE))</f>
        <v/>
      </c>
      <c r="B231" s="139" t="str">
        <f>IF(E231="","",VLOOKUP('Opći dio'!$C$3,'Opći dio'!$L$6:$U$136,9,FALSE))</f>
        <v/>
      </c>
      <c r="C231" s="187" t="str">
        <f t="shared" si="18"/>
        <v/>
      </c>
      <c r="D231" s="138" t="str">
        <f t="shared" si="19"/>
        <v/>
      </c>
      <c r="E231" s="150"/>
      <c r="F231" s="191" t="str">
        <f t="shared" si="20"/>
        <v/>
      </c>
      <c r="G231" s="185"/>
      <c r="H231" s="185"/>
      <c r="I231" s="185"/>
      <c r="K231" s="141" t="str">
        <f t="shared" si="21"/>
        <v/>
      </c>
      <c r="L231" s="141" t="str">
        <f t="shared" si="22"/>
        <v/>
      </c>
    </row>
    <row r="232" spans="1:12">
      <c r="A232" s="139" t="str">
        <f>IF(E232="","",VLOOKUP('Opći dio'!$C$3,'Opći dio'!$L$6:$U$136,10,FALSE))</f>
        <v/>
      </c>
      <c r="B232" s="139" t="str">
        <f>IF(E232="","",VLOOKUP('Opći dio'!$C$3,'Opći dio'!$L$6:$U$136,9,FALSE))</f>
        <v/>
      </c>
      <c r="C232" s="187" t="str">
        <f t="shared" si="18"/>
        <v/>
      </c>
      <c r="D232" s="138" t="str">
        <f t="shared" si="19"/>
        <v/>
      </c>
      <c r="E232" s="150"/>
      <c r="F232" s="191" t="str">
        <f t="shared" si="20"/>
        <v/>
      </c>
      <c r="G232" s="185"/>
      <c r="H232" s="185"/>
      <c r="I232" s="185"/>
      <c r="K232" s="141" t="str">
        <f t="shared" si="21"/>
        <v/>
      </c>
      <c r="L232" s="141" t="str">
        <f t="shared" si="22"/>
        <v/>
      </c>
    </row>
    <row r="233" spans="1:12">
      <c r="A233" s="139" t="str">
        <f>IF(E233="","",VLOOKUP('Opći dio'!$C$3,'Opći dio'!$L$6:$U$136,10,FALSE))</f>
        <v/>
      </c>
      <c r="B233" s="139" t="str">
        <f>IF(E233="","",VLOOKUP('Opći dio'!$C$3,'Opći dio'!$L$6:$U$136,9,FALSE))</f>
        <v/>
      </c>
      <c r="C233" s="187" t="str">
        <f t="shared" si="18"/>
        <v/>
      </c>
      <c r="D233" s="138" t="str">
        <f t="shared" si="19"/>
        <v/>
      </c>
      <c r="E233" s="150"/>
      <c r="F233" s="191" t="str">
        <f t="shared" si="20"/>
        <v/>
      </c>
      <c r="G233" s="185"/>
      <c r="H233" s="185"/>
      <c r="I233" s="185"/>
      <c r="K233" s="141" t="str">
        <f t="shared" si="21"/>
        <v/>
      </c>
      <c r="L233" s="141" t="str">
        <f t="shared" si="22"/>
        <v/>
      </c>
    </row>
    <row r="234" spans="1:12">
      <c r="A234" s="139" t="str">
        <f>IF(E234="","",VLOOKUP('Opći dio'!$C$3,'Opći dio'!$L$6:$U$136,10,FALSE))</f>
        <v/>
      </c>
      <c r="B234" s="139" t="str">
        <f>IF(E234="","",VLOOKUP('Opći dio'!$C$3,'Opći dio'!$L$6:$U$136,9,FALSE))</f>
        <v/>
      </c>
      <c r="C234" s="187" t="str">
        <f t="shared" si="18"/>
        <v/>
      </c>
      <c r="D234" s="138" t="str">
        <f t="shared" si="19"/>
        <v/>
      </c>
      <c r="E234" s="150"/>
      <c r="F234" s="191" t="str">
        <f t="shared" si="20"/>
        <v/>
      </c>
      <c r="G234" s="185"/>
      <c r="H234" s="185"/>
      <c r="I234" s="185"/>
      <c r="K234" s="141" t="str">
        <f t="shared" si="21"/>
        <v/>
      </c>
      <c r="L234" s="141" t="str">
        <f t="shared" si="22"/>
        <v/>
      </c>
    </row>
    <row r="235" spans="1:12">
      <c r="A235" s="139" t="str">
        <f>IF(E235="","",VLOOKUP('Opći dio'!$C$3,'Opći dio'!$L$6:$U$136,10,FALSE))</f>
        <v/>
      </c>
      <c r="B235" s="139" t="str">
        <f>IF(E235="","",VLOOKUP('Opći dio'!$C$3,'Opći dio'!$L$6:$U$136,9,FALSE))</f>
        <v/>
      </c>
      <c r="C235" s="187" t="str">
        <f t="shared" si="18"/>
        <v/>
      </c>
      <c r="D235" s="138" t="str">
        <f t="shared" si="19"/>
        <v/>
      </c>
      <c r="E235" s="150"/>
      <c r="F235" s="191" t="str">
        <f t="shared" si="20"/>
        <v/>
      </c>
      <c r="G235" s="185"/>
      <c r="H235" s="185"/>
      <c r="I235" s="185"/>
      <c r="K235" s="141" t="str">
        <f t="shared" si="21"/>
        <v/>
      </c>
      <c r="L235" s="141" t="str">
        <f t="shared" si="22"/>
        <v/>
      </c>
    </row>
    <row r="236" spans="1:12">
      <c r="A236" s="139" t="str">
        <f>IF(E236="","",VLOOKUP('Opći dio'!$C$3,'Opći dio'!$L$6:$U$136,10,FALSE))</f>
        <v/>
      </c>
      <c r="B236" s="139" t="str">
        <f>IF(E236="","",VLOOKUP('Opći dio'!$C$3,'Opći dio'!$L$6:$U$136,9,FALSE))</f>
        <v/>
      </c>
      <c r="C236" s="187" t="str">
        <f t="shared" si="18"/>
        <v/>
      </c>
      <c r="D236" s="138" t="str">
        <f t="shared" si="19"/>
        <v/>
      </c>
      <c r="E236" s="150"/>
      <c r="F236" s="191" t="str">
        <f t="shared" si="20"/>
        <v/>
      </c>
      <c r="G236" s="185"/>
      <c r="H236" s="185"/>
      <c r="I236" s="185"/>
      <c r="K236" s="141" t="str">
        <f t="shared" si="21"/>
        <v/>
      </c>
      <c r="L236" s="141" t="str">
        <f t="shared" si="22"/>
        <v/>
      </c>
    </row>
    <row r="237" spans="1:12">
      <c r="A237" s="139" t="str">
        <f>IF(E237="","",VLOOKUP('Opći dio'!$C$3,'Opći dio'!$L$6:$U$136,10,FALSE))</f>
        <v/>
      </c>
      <c r="B237" s="139" t="str">
        <f>IF(E237="","",VLOOKUP('Opći dio'!$C$3,'Opći dio'!$L$6:$U$136,9,FALSE))</f>
        <v/>
      </c>
      <c r="C237" s="187" t="str">
        <f t="shared" si="18"/>
        <v/>
      </c>
      <c r="D237" s="138" t="str">
        <f t="shared" si="19"/>
        <v/>
      </c>
      <c r="E237" s="150"/>
      <c r="F237" s="191" t="str">
        <f t="shared" si="20"/>
        <v/>
      </c>
      <c r="G237" s="185"/>
      <c r="H237" s="185"/>
      <c r="I237" s="185"/>
      <c r="K237" s="141" t="str">
        <f t="shared" si="21"/>
        <v/>
      </c>
      <c r="L237" s="141" t="str">
        <f t="shared" si="22"/>
        <v/>
      </c>
    </row>
    <row r="238" spans="1:12">
      <c r="A238" s="139" t="str">
        <f>IF(E238="","",VLOOKUP('Opći dio'!$C$3,'Opći dio'!$L$6:$U$136,10,FALSE))</f>
        <v/>
      </c>
      <c r="B238" s="139" t="str">
        <f>IF(E238="","",VLOOKUP('Opći dio'!$C$3,'Opći dio'!$L$6:$U$136,9,FALSE))</f>
        <v/>
      </c>
      <c r="C238" s="187" t="str">
        <f t="shared" si="18"/>
        <v/>
      </c>
      <c r="D238" s="138" t="str">
        <f t="shared" si="19"/>
        <v/>
      </c>
      <c r="E238" s="150"/>
      <c r="F238" s="191" t="str">
        <f t="shared" si="20"/>
        <v/>
      </c>
      <c r="G238" s="185"/>
      <c r="H238" s="185"/>
      <c r="I238" s="185"/>
      <c r="K238" s="141" t="str">
        <f t="shared" si="21"/>
        <v/>
      </c>
      <c r="L238" s="141" t="str">
        <f t="shared" si="22"/>
        <v/>
      </c>
    </row>
    <row r="239" spans="1:12">
      <c r="A239" s="139" t="str">
        <f>IF(E239="","",VLOOKUP('Opći dio'!$C$3,'Opći dio'!$L$6:$U$136,10,FALSE))</f>
        <v/>
      </c>
      <c r="B239" s="139" t="str">
        <f>IF(E239="","",VLOOKUP('Opći dio'!$C$3,'Opći dio'!$L$6:$U$136,9,FALSE))</f>
        <v/>
      </c>
      <c r="C239" s="187" t="str">
        <f t="shared" si="18"/>
        <v/>
      </c>
      <c r="D239" s="138" t="str">
        <f t="shared" si="19"/>
        <v/>
      </c>
      <c r="E239" s="150"/>
      <c r="F239" s="191" t="str">
        <f t="shared" si="20"/>
        <v/>
      </c>
      <c r="G239" s="185"/>
      <c r="H239" s="185"/>
      <c r="I239" s="185"/>
      <c r="K239" s="141" t="str">
        <f t="shared" si="21"/>
        <v/>
      </c>
      <c r="L239" s="141" t="str">
        <f t="shared" si="22"/>
        <v/>
      </c>
    </row>
    <row r="240" spans="1:12">
      <c r="A240" s="139" t="str">
        <f>IF(E240="","",VLOOKUP('Opći dio'!$C$3,'Opći dio'!$L$6:$U$136,10,FALSE))</f>
        <v/>
      </c>
      <c r="B240" s="139" t="str">
        <f>IF(E240="","",VLOOKUP('Opći dio'!$C$3,'Opći dio'!$L$6:$U$136,9,FALSE))</f>
        <v/>
      </c>
      <c r="C240" s="187" t="str">
        <f t="shared" si="18"/>
        <v/>
      </c>
      <c r="D240" s="138" t="str">
        <f t="shared" si="19"/>
        <v/>
      </c>
      <c r="E240" s="150"/>
      <c r="F240" s="191" t="str">
        <f t="shared" si="20"/>
        <v/>
      </c>
      <c r="G240" s="185"/>
      <c r="H240" s="185"/>
      <c r="I240" s="185"/>
      <c r="K240" s="141" t="str">
        <f t="shared" si="21"/>
        <v/>
      </c>
      <c r="L240" s="141" t="str">
        <f t="shared" si="22"/>
        <v/>
      </c>
    </row>
    <row r="241" spans="1:12">
      <c r="A241" s="139" t="str">
        <f>IF(E241="","",VLOOKUP('Opći dio'!$C$3,'Opći dio'!$L$6:$U$136,10,FALSE))</f>
        <v/>
      </c>
      <c r="B241" s="139" t="str">
        <f>IF(E241="","",VLOOKUP('Opći dio'!$C$3,'Opći dio'!$L$6:$U$136,9,FALSE))</f>
        <v/>
      </c>
      <c r="C241" s="187" t="str">
        <f t="shared" si="18"/>
        <v/>
      </c>
      <c r="D241" s="138" t="str">
        <f t="shared" si="19"/>
        <v/>
      </c>
      <c r="E241" s="150"/>
      <c r="F241" s="191" t="str">
        <f t="shared" si="20"/>
        <v/>
      </c>
      <c r="G241" s="185"/>
      <c r="H241" s="185"/>
      <c r="I241" s="185"/>
      <c r="K241" s="141" t="str">
        <f t="shared" si="21"/>
        <v/>
      </c>
      <c r="L241" s="141" t="str">
        <f t="shared" si="22"/>
        <v/>
      </c>
    </row>
    <row r="242" spans="1:12">
      <c r="A242" s="139" t="str">
        <f>IF(E242="","",VLOOKUP('Opći dio'!$C$3,'Opći dio'!$L$6:$U$136,10,FALSE))</f>
        <v/>
      </c>
      <c r="B242" s="139" t="str">
        <f>IF(E242="","",VLOOKUP('Opći dio'!$C$3,'Opći dio'!$L$6:$U$136,9,FALSE))</f>
        <v/>
      </c>
      <c r="C242" s="187" t="str">
        <f t="shared" si="18"/>
        <v/>
      </c>
      <c r="D242" s="138" t="str">
        <f t="shared" si="19"/>
        <v/>
      </c>
      <c r="E242" s="150"/>
      <c r="F242" s="191" t="str">
        <f t="shared" si="20"/>
        <v/>
      </c>
      <c r="G242" s="185"/>
      <c r="H242" s="185"/>
      <c r="I242" s="185"/>
      <c r="K242" s="141" t="str">
        <f t="shared" si="21"/>
        <v/>
      </c>
      <c r="L242" s="141" t="str">
        <f t="shared" si="22"/>
        <v/>
      </c>
    </row>
    <row r="243" spans="1:12">
      <c r="A243" s="139" t="str">
        <f>IF(E243="","",VLOOKUP('Opći dio'!$C$3,'Opći dio'!$L$6:$U$136,10,FALSE))</f>
        <v/>
      </c>
      <c r="B243" s="139" t="str">
        <f>IF(E243="","",VLOOKUP('Opći dio'!$C$3,'Opći dio'!$L$6:$U$136,9,FALSE))</f>
        <v/>
      </c>
      <c r="C243" s="187" t="str">
        <f t="shared" si="18"/>
        <v/>
      </c>
      <c r="D243" s="138" t="str">
        <f t="shared" si="19"/>
        <v/>
      </c>
      <c r="E243" s="150"/>
      <c r="F243" s="191" t="str">
        <f t="shared" si="20"/>
        <v/>
      </c>
      <c r="G243" s="185"/>
      <c r="H243" s="185"/>
      <c r="I243" s="185"/>
      <c r="K243" s="141" t="str">
        <f t="shared" si="21"/>
        <v/>
      </c>
      <c r="L243" s="141" t="str">
        <f t="shared" si="22"/>
        <v/>
      </c>
    </row>
    <row r="244" spans="1:12">
      <c r="A244" s="139" t="str">
        <f>IF(E244="","",VLOOKUP('Opći dio'!$C$3,'Opći dio'!$L$6:$U$136,10,FALSE))</f>
        <v/>
      </c>
      <c r="B244" s="139" t="str">
        <f>IF(E244="","",VLOOKUP('Opći dio'!$C$3,'Opći dio'!$L$6:$U$136,9,FALSE))</f>
        <v/>
      </c>
      <c r="C244" s="187" t="str">
        <f t="shared" si="18"/>
        <v/>
      </c>
      <c r="D244" s="138" t="str">
        <f t="shared" si="19"/>
        <v/>
      </c>
      <c r="E244" s="150"/>
      <c r="F244" s="191" t="str">
        <f t="shared" si="20"/>
        <v/>
      </c>
      <c r="G244" s="185"/>
      <c r="H244" s="185"/>
      <c r="I244" s="185"/>
      <c r="K244" s="141" t="str">
        <f t="shared" si="21"/>
        <v/>
      </c>
      <c r="L244" s="141" t="str">
        <f t="shared" si="22"/>
        <v/>
      </c>
    </row>
    <row r="245" spans="1:12">
      <c r="A245" s="139" t="str">
        <f>IF(E245="","",VLOOKUP('Opći dio'!$C$3,'Opći dio'!$L$6:$U$136,10,FALSE))</f>
        <v/>
      </c>
      <c r="B245" s="139" t="str">
        <f>IF(E245="","",VLOOKUP('Opći dio'!$C$3,'Opći dio'!$L$6:$U$136,9,FALSE))</f>
        <v/>
      </c>
      <c r="C245" s="187" t="str">
        <f t="shared" si="18"/>
        <v/>
      </c>
      <c r="D245" s="138" t="str">
        <f t="shared" si="19"/>
        <v/>
      </c>
      <c r="E245" s="150"/>
      <c r="F245" s="191" t="str">
        <f t="shared" si="20"/>
        <v/>
      </c>
      <c r="G245" s="185"/>
      <c r="H245" s="185"/>
      <c r="I245" s="185"/>
      <c r="K245" s="141" t="str">
        <f t="shared" si="21"/>
        <v/>
      </c>
      <c r="L245" s="141" t="str">
        <f t="shared" si="22"/>
        <v/>
      </c>
    </row>
    <row r="246" spans="1:12">
      <c r="A246" s="139" t="str">
        <f>IF(E246="","",VLOOKUP('Opći dio'!$C$3,'Opći dio'!$L$6:$U$136,10,FALSE))</f>
        <v/>
      </c>
      <c r="B246" s="139" t="str">
        <f>IF(E246="","",VLOOKUP('Opći dio'!$C$3,'Opći dio'!$L$6:$U$136,9,FALSE))</f>
        <v/>
      </c>
      <c r="C246" s="187" t="str">
        <f t="shared" si="18"/>
        <v/>
      </c>
      <c r="D246" s="138" t="str">
        <f t="shared" si="19"/>
        <v/>
      </c>
      <c r="E246" s="150"/>
      <c r="F246" s="191" t="str">
        <f t="shared" si="20"/>
        <v/>
      </c>
      <c r="G246" s="185"/>
      <c r="H246" s="185"/>
      <c r="I246" s="185"/>
      <c r="K246" s="141" t="str">
        <f t="shared" si="21"/>
        <v/>
      </c>
      <c r="L246" s="141" t="str">
        <f t="shared" si="22"/>
        <v/>
      </c>
    </row>
    <row r="247" spans="1:12">
      <c r="A247" s="139" t="str">
        <f>IF(E247="","",VLOOKUP('Opći dio'!$C$3,'Opći dio'!$L$6:$U$136,10,FALSE))</f>
        <v/>
      </c>
      <c r="B247" s="139" t="str">
        <f>IF(E247="","",VLOOKUP('Opći dio'!$C$3,'Opći dio'!$L$6:$U$136,9,FALSE))</f>
        <v/>
      </c>
      <c r="C247" s="187" t="str">
        <f t="shared" si="18"/>
        <v/>
      </c>
      <c r="D247" s="138" t="str">
        <f t="shared" si="19"/>
        <v/>
      </c>
      <c r="E247" s="150"/>
      <c r="F247" s="191" t="str">
        <f t="shared" si="20"/>
        <v/>
      </c>
      <c r="G247" s="185"/>
      <c r="H247" s="185"/>
      <c r="I247" s="185"/>
      <c r="K247" s="141" t="str">
        <f t="shared" si="21"/>
        <v/>
      </c>
      <c r="L247" s="141" t="str">
        <f t="shared" si="22"/>
        <v/>
      </c>
    </row>
    <row r="248" spans="1:12">
      <c r="A248" s="139" t="str">
        <f>IF(E248="","",VLOOKUP('Opći dio'!$C$3,'Opći dio'!$L$6:$U$136,10,FALSE))</f>
        <v/>
      </c>
      <c r="B248" s="139" t="str">
        <f>IF(E248="","",VLOOKUP('Opći dio'!$C$3,'Opći dio'!$L$6:$U$136,9,FALSE))</f>
        <v/>
      </c>
      <c r="C248" s="187" t="str">
        <f t="shared" si="18"/>
        <v/>
      </c>
      <c r="D248" s="138" t="str">
        <f t="shared" si="19"/>
        <v/>
      </c>
      <c r="E248" s="150"/>
      <c r="F248" s="191" t="str">
        <f t="shared" si="20"/>
        <v/>
      </c>
      <c r="G248" s="185"/>
      <c r="H248" s="185"/>
      <c r="I248" s="185"/>
      <c r="K248" s="141" t="str">
        <f t="shared" si="21"/>
        <v/>
      </c>
      <c r="L248" s="141" t="str">
        <f t="shared" si="22"/>
        <v/>
      </c>
    </row>
    <row r="249" spans="1:12">
      <c r="A249" s="139" t="str">
        <f>IF(E249="","",VLOOKUP('Opći dio'!$C$3,'Opći dio'!$L$6:$U$136,10,FALSE))</f>
        <v/>
      </c>
      <c r="B249" s="139" t="str">
        <f>IF(E249="","",VLOOKUP('Opći dio'!$C$3,'Opći dio'!$L$6:$U$136,9,FALSE))</f>
        <v/>
      </c>
      <c r="C249" s="187" t="str">
        <f t="shared" si="18"/>
        <v/>
      </c>
      <c r="D249" s="138" t="str">
        <f t="shared" si="19"/>
        <v/>
      </c>
      <c r="E249" s="150"/>
      <c r="F249" s="191" t="str">
        <f t="shared" si="20"/>
        <v/>
      </c>
      <c r="G249" s="185"/>
      <c r="H249" s="185"/>
      <c r="I249" s="185"/>
      <c r="K249" s="141" t="str">
        <f t="shared" si="21"/>
        <v/>
      </c>
      <c r="L249" s="141" t="str">
        <f t="shared" si="22"/>
        <v/>
      </c>
    </row>
    <row r="250" spans="1:12">
      <c r="A250" s="139" t="str">
        <f>IF(E250="","",VLOOKUP('Opći dio'!$C$3,'Opći dio'!$L$6:$U$136,10,FALSE))</f>
        <v/>
      </c>
      <c r="B250" s="139" t="str">
        <f>IF(E250="","",VLOOKUP('Opći dio'!$C$3,'Opći dio'!$L$6:$U$136,9,FALSE))</f>
        <v/>
      </c>
      <c r="C250" s="187" t="str">
        <f t="shared" si="18"/>
        <v/>
      </c>
      <c r="D250" s="138" t="str">
        <f t="shared" si="19"/>
        <v/>
      </c>
      <c r="E250" s="150"/>
      <c r="F250" s="191" t="str">
        <f t="shared" si="20"/>
        <v/>
      </c>
      <c r="G250" s="185"/>
      <c r="H250" s="185"/>
      <c r="I250" s="185"/>
      <c r="K250" s="141" t="str">
        <f t="shared" si="21"/>
        <v/>
      </c>
      <c r="L250" s="141" t="str">
        <f t="shared" si="22"/>
        <v/>
      </c>
    </row>
    <row r="251" spans="1:12">
      <c r="A251" s="139" t="str">
        <f>IF(E251="","",VLOOKUP('Opći dio'!$C$3,'Opći dio'!$L$6:$U$136,10,FALSE))</f>
        <v/>
      </c>
      <c r="B251" s="139" t="str">
        <f>IF(E251="","",VLOOKUP('Opći dio'!$C$3,'Opći dio'!$L$6:$U$136,9,FALSE))</f>
        <v/>
      </c>
      <c r="C251" s="187" t="str">
        <f t="shared" si="18"/>
        <v/>
      </c>
      <c r="D251" s="138" t="str">
        <f t="shared" si="19"/>
        <v/>
      </c>
      <c r="E251" s="150"/>
      <c r="F251" s="191" t="str">
        <f t="shared" si="20"/>
        <v/>
      </c>
      <c r="G251" s="185"/>
      <c r="H251" s="185"/>
      <c r="I251" s="185"/>
      <c r="K251" s="141" t="str">
        <f t="shared" si="21"/>
        <v/>
      </c>
      <c r="L251" s="141" t="str">
        <f t="shared" si="22"/>
        <v/>
      </c>
    </row>
    <row r="252" spans="1:12">
      <c r="A252" s="139" t="str">
        <f>IF(E252="","",VLOOKUP('Opći dio'!$C$3,'Opći dio'!$L$6:$U$136,10,FALSE))</f>
        <v/>
      </c>
      <c r="B252" s="139" t="str">
        <f>IF(E252="","",VLOOKUP('Opći dio'!$C$3,'Opći dio'!$L$6:$U$136,9,FALSE))</f>
        <v/>
      </c>
      <c r="C252" s="187" t="str">
        <f t="shared" si="18"/>
        <v/>
      </c>
      <c r="D252" s="138" t="str">
        <f t="shared" si="19"/>
        <v/>
      </c>
      <c r="E252" s="150"/>
      <c r="F252" s="191" t="str">
        <f t="shared" si="20"/>
        <v/>
      </c>
      <c r="G252" s="185"/>
      <c r="H252" s="185"/>
      <c r="I252" s="185"/>
      <c r="K252" s="141" t="str">
        <f t="shared" si="21"/>
        <v/>
      </c>
      <c r="L252" s="141" t="str">
        <f t="shared" si="22"/>
        <v/>
      </c>
    </row>
    <row r="253" spans="1:12">
      <c r="A253" s="139" t="str">
        <f>IF(E253="","",VLOOKUP('Opći dio'!$C$3,'Opći dio'!$L$6:$U$136,10,FALSE))</f>
        <v/>
      </c>
      <c r="B253" s="139" t="str">
        <f>IF(E253="","",VLOOKUP('Opći dio'!$C$3,'Opći dio'!$L$6:$U$136,9,FALSE))</f>
        <v/>
      </c>
      <c r="C253" s="187" t="str">
        <f t="shared" si="18"/>
        <v/>
      </c>
      <c r="D253" s="138" t="str">
        <f t="shared" si="19"/>
        <v/>
      </c>
      <c r="E253" s="150"/>
      <c r="F253" s="191" t="str">
        <f t="shared" si="20"/>
        <v/>
      </c>
      <c r="G253" s="185"/>
      <c r="H253" s="185"/>
      <c r="I253" s="185"/>
      <c r="K253" s="141" t="str">
        <f t="shared" si="21"/>
        <v/>
      </c>
      <c r="L253" s="141" t="str">
        <f t="shared" si="22"/>
        <v/>
      </c>
    </row>
    <row r="254" spans="1:12">
      <c r="A254" s="139" t="str">
        <f>IF(E254="","",VLOOKUP('Opći dio'!$C$3,'Opći dio'!$L$6:$U$136,10,FALSE))</f>
        <v/>
      </c>
      <c r="B254" s="139" t="str">
        <f>IF(E254="","",VLOOKUP('Opći dio'!$C$3,'Opći dio'!$L$6:$U$136,9,FALSE))</f>
        <v/>
      </c>
      <c r="C254" s="187" t="str">
        <f t="shared" si="18"/>
        <v/>
      </c>
      <c r="D254" s="138" t="str">
        <f t="shared" si="19"/>
        <v/>
      </c>
      <c r="E254" s="150"/>
      <c r="F254" s="191" t="str">
        <f t="shared" si="20"/>
        <v/>
      </c>
      <c r="G254" s="185"/>
      <c r="H254" s="185"/>
      <c r="I254" s="185"/>
      <c r="K254" s="141" t="str">
        <f t="shared" si="21"/>
        <v/>
      </c>
      <c r="L254" s="141" t="str">
        <f t="shared" si="22"/>
        <v/>
      </c>
    </row>
    <row r="255" spans="1:12">
      <c r="A255" s="139" t="str">
        <f>IF(E255="","",VLOOKUP('Opći dio'!$C$3,'Opći dio'!$L$6:$U$136,10,FALSE))</f>
        <v/>
      </c>
      <c r="B255" s="139" t="str">
        <f>IF(E255="","",VLOOKUP('Opći dio'!$C$3,'Opći dio'!$L$6:$U$136,9,FALSE))</f>
        <v/>
      </c>
      <c r="C255" s="187" t="str">
        <f t="shared" si="18"/>
        <v/>
      </c>
      <c r="D255" s="138" t="str">
        <f t="shared" si="19"/>
        <v/>
      </c>
      <c r="E255" s="150"/>
      <c r="F255" s="191" t="str">
        <f t="shared" si="20"/>
        <v/>
      </c>
      <c r="G255" s="185"/>
      <c r="H255" s="185"/>
      <c r="I255" s="185"/>
      <c r="K255" s="141" t="str">
        <f t="shared" si="21"/>
        <v/>
      </c>
      <c r="L255" s="141" t="str">
        <f t="shared" si="22"/>
        <v/>
      </c>
    </row>
    <row r="256" spans="1:12">
      <c r="A256" s="139" t="str">
        <f>IF(E256="","",VLOOKUP('Opći dio'!$C$3,'Opći dio'!$L$6:$U$136,10,FALSE))</f>
        <v/>
      </c>
      <c r="B256" s="139" t="str">
        <f>IF(E256="","",VLOOKUP('Opći dio'!$C$3,'Opći dio'!$L$6:$U$136,9,FALSE))</f>
        <v/>
      </c>
      <c r="C256" s="187" t="str">
        <f t="shared" si="18"/>
        <v/>
      </c>
      <c r="D256" s="138" t="str">
        <f t="shared" si="19"/>
        <v/>
      </c>
      <c r="E256" s="150"/>
      <c r="F256" s="191" t="str">
        <f t="shared" si="20"/>
        <v/>
      </c>
      <c r="G256" s="185"/>
      <c r="H256" s="185"/>
      <c r="I256" s="185"/>
      <c r="K256" s="141" t="str">
        <f t="shared" si="21"/>
        <v/>
      </c>
      <c r="L256" s="141" t="str">
        <f t="shared" si="22"/>
        <v/>
      </c>
    </row>
    <row r="257" spans="1:12">
      <c r="A257" s="139" t="str">
        <f>IF(E257="","",VLOOKUP('Opći dio'!$C$3,'Opći dio'!$L$6:$U$136,10,FALSE))</f>
        <v/>
      </c>
      <c r="B257" s="139" t="str">
        <f>IF(E257="","",VLOOKUP('Opći dio'!$C$3,'Opći dio'!$L$6:$U$136,9,FALSE))</f>
        <v/>
      </c>
      <c r="C257" s="187" t="str">
        <f t="shared" si="18"/>
        <v/>
      </c>
      <c r="D257" s="138" t="str">
        <f t="shared" si="19"/>
        <v/>
      </c>
      <c r="E257" s="150"/>
      <c r="F257" s="191" t="str">
        <f t="shared" si="20"/>
        <v/>
      </c>
      <c r="G257" s="185"/>
      <c r="H257" s="185"/>
      <c r="I257" s="185"/>
      <c r="K257" s="141" t="str">
        <f t="shared" si="21"/>
        <v/>
      </c>
      <c r="L257" s="141" t="str">
        <f t="shared" si="22"/>
        <v/>
      </c>
    </row>
    <row r="258" spans="1:12">
      <c r="A258" s="139" t="str">
        <f>IF(E258="","",VLOOKUP('Opći dio'!$C$3,'Opći dio'!$L$6:$U$136,10,FALSE))</f>
        <v/>
      </c>
      <c r="B258" s="139" t="str">
        <f>IF(E258="","",VLOOKUP('Opći dio'!$C$3,'Opći dio'!$L$6:$U$136,9,FALSE))</f>
        <v/>
      </c>
      <c r="C258" s="187" t="str">
        <f t="shared" si="18"/>
        <v/>
      </c>
      <c r="D258" s="138" t="str">
        <f t="shared" si="19"/>
        <v/>
      </c>
      <c r="E258" s="150"/>
      <c r="F258" s="191" t="str">
        <f t="shared" si="20"/>
        <v/>
      </c>
      <c r="G258" s="185"/>
      <c r="H258" s="185"/>
      <c r="I258" s="185"/>
      <c r="K258" s="141" t="str">
        <f t="shared" si="21"/>
        <v/>
      </c>
      <c r="L258" s="141" t="str">
        <f t="shared" si="22"/>
        <v/>
      </c>
    </row>
    <row r="259" spans="1:12">
      <c r="A259" s="139" t="str">
        <f>IF(E259="","",VLOOKUP('Opći dio'!$C$3,'Opći dio'!$L$6:$U$136,10,FALSE))</f>
        <v/>
      </c>
      <c r="B259" s="139" t="str">
        <f>IF(E259="","",VLOOKUP('Opći dio'!$C$3,'Opći dio'!$L$6:$U$136,9,FALSE))</f>
        <v/>
      </c>
      <c r="C259" s="187" t="str">
        <f t="shared" si="18"/>
        <v/>
      </c>
      <c r="D259" s="138" t="str">
        <f t="shared" si="19"/>
        <v/>
      </c>
      <c r="E259" s="150"/>
      <c r="F259" s="191" t="str">
        <f t="shared" si="20"/>
        <v/>
      </c>
      <c r="G259" s="185"/>
      <c r="H259" s="185"/>
      <c r="I259" s="185"/>
      <c r="K259" s="141" t="str">
        <f t="shared" si="21"/>
        <v/>
      </c>
      <c r="L259" s="141" t="str">
        <f t="shared" si="22"/>
        <v/>
      </c>
    </row>
    <row r="260" spans="1:12">
      <c r="A260" s="139" t="str">
        <f>IF(E260="","",VLOOKUP('Opći dio'!$C$3,'Opći dio'!$L$6:$U$136,10,FALSE))</f>
        <v/>
      </c>
      <c r="B260" s="139" t="str">
        <f>IF(E260="","",VLOOKUP('Opći dio'!$C$3,'Opći dio'!$L$6:$U$136,9,FALSE))</f>
        <v/>
      </c>
      <c r="C260" s="187" t="str">
        <f t="shared" ref="C260:C323" si="23">IFERROR(VLOOKUP(E260,$Q$6:$T$200,3,FALSE),"")</f>
        <v/>
      </c>
      <c r="D260" s="138" t="str">
        <f t="shared" ref="D260:D323" si="24">IFERROR(VLOOKUP(E260,$Q$6:$T$200,4,FALSE),"")</f>
        <v/>
      </c>
      <c r="E260" s="150"/>
      <c r="F260" s="191" t="str">
        <f t="shared" ref="F260:F323" si="25">IFERROR(VLOOKUP(E260,$Q$6:$T$200,2,FALSE),"")</f>
        <v/>
      </c>
      <c r="G260" s="185"/>
      <c r="H260" s="185"/>
      <c r="I260" s="185"/>
      <c r="K260" s="141" t="str">
        <f t="shared" ref="K260:K323" si="26">LEFT(E260,3)</f>
        <v/>
      </c>
      <c r="L260" s="141" t="str">
        <f t="shared" ref="L260:L323" si="27">LEFT(E260,2)</f>
        <v/>
      </c>
    </row>
    <row r="261" spans="1:12">
      <c r="A261" s="139" t="str">
        <f>IF(E261="","",VLOOKUP('Opći dio'!$C$3,'Opći dio'!$L$6:$U$136,10,FALSE))</f>
        <v/>
      </c>
      <c r="B261" s="139" t="str">
        <f>IF(E261="","",VLOOKUP('Opći dio'!$C$3,'Opći dio'!$L$6:$U$136,9,FALSE))</f>
        <v/>
      </c>
      <c r="C261" s="187" t="str">
        <f t="shared" si="23"/>
        <v/>
      </c>
      <c r="D261" s="138" t="str">
        <f t="shared" si="24"/>
        <v/>
      </c>
      <c r="E261" s="150"/>
      <c r="F261" s="191" t="str">
        <f t="shared" si="25"/>
        <v/>
      </c>
      <c r="G261" s="185"/>
      <c r="H261" s="185"/>
      <c r="I261" s="185"/>
      <c r="K261" s="141" t="str">
        <f t="shared" si="26"/>
        <v/>
      </c>
      <c r="L261" s="141" t="str">
        <f t="shared" si="27"/>
        <v/>
      </c>
    </row>
    <row r="262" spans="1:12">
      <c r="A262" s="139" t="str">
        <f>IF(E262="","",VLOOKUP('Opći dio'!$C$3,'Opći dio'!$L$6:$U$136,10,FALSE))</f>
        <v/>
      </c>
      <c r="B262" s="139" t="str">
        <f>IF(E262="","",VLOOKUP('Opći dio'!$C$3,'Opći dio'!$L$6:$U$136,9,FALSE))</f>
        <v/>
      </c>
      <c r="C262" s="187" t="str">
        <f t="shared" si="23"/>
        <v/>
      </c>
      <c r="D262" s="138" t="str">
        <f t="shared" si="24"/>
        <v/>
      </c>
      <c r="E262" s="150"/>
      <c r="F262" s="191" t="str">
        <f t="shared" si="25"/>
        <v/>
      </c>
      <c r="G262" s="185"/>
      <c r="H262" s="185"/>
      <c r="I262" s="185"/>
      <c r="K262" s="141" t="str">
        <f t="shared" si="26"/>
        <v/>
      </c>
      <c r="L262" s="141" t="str">
        <f t="shared" si="27"/>
        <v/>
      </c>
    </row>
    <row r="263" spans="1:12">
      <c r="A263" s="139" t="str">
        <f>IF(E263="","",VLOOKUP('Opći dio'!$C$3,'Opći dio'!$L$6:$U$136,10,FALSE))</f>
        <v/>
      </c>
      <c r="B263" s="139" t="str">
        <f>IF(E263="","",VLOOKUP('Opći dio'!$C$3,'Opći dio'!$L$6:$U$136,9,FALSE))</f>
        <v/>
      </c>
      <c r="C263" s="187" t="str">
        <f t="shared" si="23"/>
        <v/>
      </c>
      <c r="D263" s="138" t="str">
        <f t="shared" si="24"/>
        <v/>
      </c>
      <c r="E263" s="150"/>
      <c r="F263" s="191" t="str">
        <f t="shared" si="25"/>
        <v/>
      </c>
      <c r="G263" s="185"/>
      <c r="H263" s="185"/>
      <c r="I263" s="185"/>
      <c r="K263" s="141" t="str">
        <f t="shared" si="26"/>
        <v/>
      </c>
      <c r="L263" s="141" t="str">
        <f t="shared" si="27"/>
        <v/>
      </c>
    </row>
    <row r="264" spans="1:12">
      <c r="A264" s="139" t="str">
        <f>IF(E264="","",VLOOKUP('Opći dio'!$C$3,'Opći dio'!$L$6:$U$136,10,FALSE))</f>
        <v/>
      </c>
      <c r="B264" s="139" t="str">
        <f>IF(E264="","",VLOOKUP('Opći dio'!$C$3,'Opći dio'!$L$6:$U$136,9,FALSE))</f>
        <v/>
      </c>
      <c r="C264" s="187" t="str">
        <f t="shared" si="23"/>
        <v/>
      </c>
      <c r="D264" s="138" t="str">
        <f t="shared" si="24"/>
        <v/>
      </c>
      <c r="E264" s="150"/>
      <c r="F264" s="191" t="str">
        <f t="shared" si="25"/>
        <v/>
      </c>
      <c r="G264" s="185"/>
      <c r="H264" s="185"/>
      <c r="I264" s="185"/>
      <c r="K264" s="141" t="str">
        <f t="shared" si="26"/>
        <v/>
      </c>
      <c r="L264" s="141" t="str">
        <f t="shared" si="27"/>
        <v/>
      </c>
    </row>
    <row r="265" spans="1:12">
      <c r="A265" s="139" t="str">
        <f>IF(E265="","",VLOOKUP('Opći dio'!$C$3,'Opći dio'!$L$6:$U$136,10,FALSE))</f>
        <v/>
      </c>
      <c r="B265" s="139" t="str">
        <f>IF(E265="","",VLOOKUP('Opći dio'!$C$3,'Opći dio'!$L$6:$U$136,9,FALSE))</f>
        <v/>
      </c>
      <c r="C265" s="187" t="str">
        <f t="shared" si="23"/>
        <v/>
      </c>
      <c r="D265" s="138" t="str">
        <f t="shared" si="24"/>
        <v/>
      </c>
      <c r="E265" s="150"/>
      <c r="F265" s="191" t="str">
        <f t="shared" si="25"/>
        <v/>
      </c>
      <c r="G265" s="185"/>
      <c r="H265" s="185"/>
      <c r="I265" s="185"/>
      <c r="K265" s="141" t="str">
        <f t="shared" si="26"/>
        <v/>
      </c>
      <c r="L265" s="141" t="str">
        <f t="shared" si="27"/>
        <v/>
      </c>
    </row>
    <row r="266" spans="1:12">
      <c r="A266" s="139" t="str">
        <f>IF(E266="","",VLOOKUP('Opći dio'!$C$3,'Opći dio'!$L$6:$U$136,10,FALSE))</f>
        <v/>
      </c>
      <c r="B266" s="139" t="str">
        <f>IF(E266="","",VLOOKUP('Opći dio'!$C$3,'Opći dio'!$L$6:$U$136,9,FALSE))</f>
        <v/>
      </c>
      <c r="C266" s="187" t="str">
        <f t="shared" si="23"/>
        <v/>
      </c>
      <c r="D266" s="138" t="str">
        <f t="shared" si="24"/>
        <v/>
      </c>
      <c r="E266" s="150"/>
      <c r="F266" s="191" t="str">
        <f t="shared" si="25"/>
        <v/>
      </c>
      <c r="G266" s="185"/>
      <c r="H266" s="185"/>
      <c r="I266" s="185"/>
      <c r="K266" s="141" t="str">
        <f t="shared" si="26"/>
        <v/>
      </c>
      <c r="L266" s="141" t="str">
        <f t="shared" si="27"/>
        <v/>
      </c>
    </row>
    <row r="267" spans="1:12">
      <c r="A267" s="139" t="str">
        <f>IF(E267="","",VLOOKUP('Opći dio'!$C$3,'Opći dio'!$L$6:$U$136,10,FALSE))</f>
        <v/>
      </c>
      <c r="B267" s="139" t="str">
        <f>IF(E267="","",VLOOKUP('Opći dio'!$C$3,'Opći dio'!$L$6:$U$136,9,FALSE))</f>
        <v/>
      </c>
      <c r="C267" s="187" t="str">
        <f t="shared" si="23"/>
        <v/>
      </c>
      <c r="D267" s="138" t="str">
        <f t="shared" si="24"/>
        <v/>
      </c>
      <c r="E267" s="150"/>
      <c r="F267" s="191" t="str">
        <f t="shared" si="25"/>
        <v/>
      </c>
      <c r="G267" s="185"/>
      <c r="H267" s="185"/>
      <c r="I267" s="185"/>
      <c r="K267" s="141" t="str">
        <f t="shared" si="26"/>
        <v/>
      </c>
      <c r="L267" s="141" t="str">
        <f t="shared" si="27"/>
        <v/>
      </c>
    </row>
    <row r="268" spans="1:12">
      <c r="A268" s="139" t="str">
        <f>IF(E268="","",VLOOKUP('Opći dio'!$C$3,'Opći dio'!$L$6:$U$136,10,FALSE))</f>
        <v/>
      </c>
      <c r="B268" s="139" t="str">
        <f>IF(E268="","",VLOOKUP('Opći dio'!$C$3,'Opći dio'!$L$6:$U$136,9,FALSE))</f>
        <v/>
      </c>
      <c r="C268" s="187" t="str">
        <f t="shared" si="23"/>
        <v/>
      </c>
      <c r="D268" s="138" t="str">
        <f t="shared" si="24"/>
        <v/>
      </c>
      <c r="E268" s="150"/>
      <c r="F268" s="191" t="str">
        <f t="shared" si="25"/>
        <v/>
      </c>
      <c r="G268" s="185"/>
      <c r="H268" s="185"/>
      <c r="I268" s="185"/>
      <c r="K268" s="141" t="str">
        <f t="shared" si="26"/>
        <v/>
      </c>
      <c r="L268" s="141" t="str">
        <f t="shared" si="27"/>
        <v/>
      </c>
    </row>
    <row r="269" spans="1:12">
      <c r="A269" s="139" t="str">
        <f>IF(E269="","",VLOOKUP('Opći dio'!$C$3,'Opći dio'!$L$6:$U$136,10,FALSE))</f>
        <v/>
      </c>
      <c r="B269" s="139" t="str">
        <f>IF(E269="","",VLOOKUP('Opći dio'!$C$3,'Opći dio'!$L$6:$U$136,9,FALSE))</f>
        <v/>
      </c>
      <c r="C269" s="187" t="str">
        <f t="shared" si="23"/>
        <v/>
      </c>
      <c r="D269" s="138" t="str">
        <f t="shared" si="24"/>
        <v/>
      </c>
      <c r="E269" s="150"/>
      <c r="F269" s="191" t="str">
        <f t="shared" si="25"/>
        <v/>
      </c>
      <c r="G269" s="185"/>
      <c r="H269" s="185"/>
      <c r="I269" s="185"/>
      <c r="K269" s="141" t="str">
        <f t="shared" si="26"/>
        <v/>
      </c>
      <c r="L269" s="141" t="str">
        <f t="shared" si="27"/>
        <v/>
      </c>
    </row>
    <row r="270" spans="1:12">
      <c r="A270" s="139" t="str">
        <f>IF(E270="","",VLOOKUP('Opći dio'!$C$3,'Opći dio'!$L$6:$U$136,10,FALSE))</f>
        <v/>
      </c>
      <c r="B270" s="139" t="str">
        <f>IF(E270="","",VLOOKUP('Opći dio'!$C$3,'Opći dio'!$L$6:$U$136,9,FALSE))</f>
        <v/>
      </c>
      <c r="C270" s="187" t="str">
        <f t="shared" si="23"/>
        <v/>
      </c>
      <c r="D270" s="138" t="str">
        <f t="shared" si="24"/>
        <v/>
      </c>
      <c r="E270" s="150"/>
      <c r="F270" s="191" t="str">
        <f t="shared" si="25"/>
        <v/>
      </c>
      <c r="G270" s="185"/>
      <c r="H270" s="185"/>
      <c r="I270" s="185"/>
      <c r="K270" s="141" t="str">
        <f t="shared" si="26"/>
        <v/>
      </c>
      <c r="L270" s="141" t="str">
        <f t="shared" si="27"/>
        <v/>
      </c>
    </row>
    <row r="271" spans="1:12">
      <c r="A271" s="139" t="str">
        <f>IF(E271="","",VLOOKUP('Opći dio'!$C$3,'Opći dio'!$L$6:$U$136,10,FALSE))</f>
        <v/>
      </c>
      <c r="B271" s="139" t="str">
        <f>IF(E271="","",VLOOKUP('Opći dio'!$C$3,'Opći dio'!$L$6:$U$136,9,FALSE))</f>
        <v/>
      </c>
      <c r="C271" s="187" t="str">
        <f t="shared" si="23"/>
        <v/>
      </c>
      <c r="D271" s="138" t="str">
        <f t="shared" si="24"/>
        <v/>
      </c>
      <c r="E271" s="150"/>
      <c r="F271" s="191" t="str">
        <f t="shared" si="25"/>
        <v/>
      </c>
      <c r="G271" s="185"/>
      <c r="H271" s="185"/>
      <c r="I271" s="185"/>
      <c r="K271" s="141" t="str">
        <f t="shared" si="26"/>
        <v/>
      </c>
      <c r="L271" s="141" t="str">
        <f t="shared" si="27"/>
        <v/>
      </c>
    </row>
    <row r="272" spans="1:12">
      <c r="A272" s="139" t="str">
        <f>IF(E272="","",VLOOKUP('Opći dio'!$C$3,'Opći dio'!$L$6:$U$136,10,FALSE))</f>
        <v/>
      </c>
      <c r="B272" s="139" t="str">
        <f>IF(E272="","",VLOOKUP('Opći dio'!$C$3,'Opći dio'!$L$6:$U$136,9,FALSE))</f>
        <v/>
      </c>
      <c r="C272" s="187" t="str">
        <f t="shared" si="23"/>
        <v/>
      </c>
      <c r="D272" s="138" t="str">
        <f t="shared" si="24"/>
        <v/>
      </c>
      <c r="E272" s="150"/>
      <c r="F272" s="191" t="str">
        <f t="shared" si="25"/>
        <v/>
      </c>
      <c r="G272" s="185"/>
      <c r="H272" s="185"/>
      <c r="I272" s="185"/>
      <c r="K272" s="141" t="str">
        <f t="shared" si="26"/>
        <v/>
      </c>
      <c r="L272" s="141" t="str">
        <f t="shared" si="27"/>
        <v/>
      </c>
    </row>
    <row r="273" spans="1:12">
      <c r="A273" s="139" t="str">
        <f>IF(E273="","",VLOOKUP('Opći dio'!$C$3,'Opći dio'!$L$6:$U$136,10,FALSE))</f>
        <v/>
      </c>
      <c r="B273" s="139" t="str">
        <f>IF(E273="","",VLOOKUP('Opći dio'!$C$3,'Opći dio'!$L$6:$U$136,9,FALSE))</f>
        <v/>
      </c>
      <c r="C273" s="187" t="str">
        <f t="shared" si="23"/>
        <v/>
      </c>
      <c r="D273" s="138" t="str">
        <f t="shared" si="24"/>
        <v/>
      </c>
      <c r="E273" s="150"/>
      <c r="F273" s="191" t="str">
        <f t="shared" si="25"/>
        <v/>
      </c>
      <c r="G273" s="185"/>
      <c r="H273" s="185"/>
      <c r="I273" s="185"/>
      <c r="K273" s="141" t="str">
        <f t="shared" si="26"/>
        <v/>
      </c>
      <c r="L273" s="141" t="str">
        <f t="shared" si="27"/>
        <v/>
      </c>
    </row>
    <row r="274" spans="1:12">
      <c r="A274" s="139" t="str">
        <f>IF(E274="","",VLOOKUP('Opći dio'!$C$3,'Opći dio'!$L$6:$U$136,10,FALSE))</f>
        <v/>
      </c>
      <c r="B274" s="139" t="str">
        <f>IF(E274="","",VLOOKUP('Opći dio'!$C$3,'Opći dio'!$L$6:$U$136,9,FALSE))</f>
        <v/>
      </c>
      <c r="C274" s="187" t="str">
        <f t="shared" si="23"/>
        <v/>
      </c>
      <c r="D274" s="138" t="str">
        <f t="shared" si="24"/>
        <v/>
      </c>
      <c r="E274" s="150"/>
      <c r="F274" s="191" t="str">
        <f t="shared" si="25"/>
        <v/>
      </c>
      <c r="G274" s="185"/>
      <c r="H274" s="185"/>
      <c r="I274" s="185"/>
      <c r="K274" s="141" t="str">
        <f t="shared" si="26"/>
        <v/>
      </c>
      <c r="L274" s="141" t="str">
        <f t="shared" si="27"/>
        <v/>
      </c>
    </row>
    <row r="275" spans="1:12">
      <c r="A275" s="139" t="str">
        <f>IF(E275="","",VLOOKUP('Opći dio'!$C$3,'Opći dio'!$L$6:$U$136,10,FALSE))</f>
        <v/>
      </c>
      <c r="B275" s="139" t="str">
        <f>IF(E275="","",VLOOKUP('Opći dio'!$C$3,'Opći dio'!$L$6:$U$136,9,FALSE))</f>
        <v/>
      </c>
      <c r="C275" s="187" t="str">
        <f t="shared" si="23"/>
        <v/>
      </c>
      <c r="D275" s="138" t="str">
        <f t="shared" si="24"/>
        <v/>
      </c>
      <c r="E275" s="150"/>
      <c r="F275" s="191" t="str">
        <f t="shared" si="25"/>
        <v/>
      </c>
      <c r="G275" s="185"/>
      <c r="H275" s="185"/>
      <c r="I275" s="185"/>
      <c r="K275" s="141" t="str">
        <f t="shared" si="26"/>
        <v/>
      </c>
      <c r="L275" s="141" t="str">
        <f t="shared" si="27"/>
        <v/>
      </c>
    </row>
    <row r="276" spans="1:12">
      <c r="A276" s="139" t="str">
        <f>IF(E276="","",VLOOKUP('Opći dio'!$C$3,'Opći dio'!$L$6:$U$136,10,FALSE))</f>
        <v/>
      </c>
      <c r="B276" s="139" t="str">
        <f>IF(E276="","",VLOOKUP('Opći dio'!$C$3,'Opći dio'!$L$6:$U$136,9,FALSE))</f>
        <v/>
      </c>
      <c r="C276" s="187" t="str">
        <f t="shared" si="23"/>
        <v/>
      </c>
      <c r="D276" s="138" t="str">
        <f t="shared" si="24"/>
        <v/>
      </c>
      <c r="E276" s="150"/>
      <c r="F276" s="191" t="str">
        <f t="shared" si="25"/>
        <v/>
      </c>
      <c r="G276" s="185"/>
      <c r="H276" s="185"/>
      <c r="I276" s="185"/>
      <c r="K276" s="141" t="str">
        <f t="shared" si="26"/>
        <v/>
      </c>
      <c r="L276" s="141" t="str">
        <f t="shared" si="27"/>
        <v/>
      </c>
    </row>
    <row r="277" spans="1:12">
      <c r="A277" s="139" t="str">
        <f>IF(E277="","",VLOOKUP('Opći dio'!$C$3,'Opći dio'!$L$6:$U$136,10,FALSE))</f>
        <v/>
      </c>
      <c r="B277" s="139" t="str">
        <f>IF(E277="","",VLOOKUP('Opći dio'!$C$3,'Opći dio'!$L$6:$U$136,9,FALSE))</f>
        <v/>
      </c>
      <c r="C277" s="187" t="str">
        <f t="shared" si="23"/>
        <v/>
      </c>
      <c r="D277" s="138" t="str">
        <f t="shared" si="24"/>
        <v/>
      </c>
      <c r="E277" s="150"/>
      <c r="F277" s="191" t="str">
        <f t="shared" si="25"/>
        <v/>
      </c>
      <c r="G277" s="185"/>
      <c r="H277" s="185"/>
      <c r="I277" s="185"/>
      <c r="K277" s="141" t="str">
        <f t="shared" si="26"/>
        <v/>
      </c>
      <c r="L277" s="141" t="str">
        <f t="shared" si="27"/>
        <v/>
      </c>
    </row>
    <row r="278" spans="1:12">
      <c r="A278" s="139" t="str">
        <f>IF(E278="","",VLOOKUP('Opći dio'!$C$3,'Opći dio'!$L$6:$U$136,10,FALSE))</f>
        <v/>
      </c>
      <c r="B278" s="139" t="str">
        <f>IF(E278="","",VLOOKUP('Opći dio'!$C$3,'Opći dio'!$L$6:$U$136,9,FALSE))</f>
        <v/>
      </c>
      <c r="C278" s="187" t="str">
        <f t="shared" si="23"/>
        <v/>
      </c>
      <c r="D278" s="138" t="str">
        <f t="shared" si="24"/>
        <v/>
      </c>
      <c r="E278" s="150"/>
      <c r="F278" s="191" t="str">
        <f t="shared" si="25"/>
        <v/>
      </c>
      <c r="G278" s="185"/>
      <c r="H278" s="185"/>
      <c r="I278" s="185"/>
      <c r="K278" s="141" t="str">
        <f t="shared" si="26"/>
        <v/>
      </c>
      <c r="L278" s="141" t="str">
        <f t="shared" si="27"/>
        <v/>
      </c>
    </row>
    <row r="279" spans="1:12">
      <c r="A279" s="139" t="str">
        <f>IF(E279="","",VLOOKUP('Opći dio'!$C$3,'Opći dio'!$L$6:$U$136,10,FALSE))</f>
        <v/>
      </c>
      <c r="B279" s="139" t="str">
        <f>IF(E279="","",VLOOKUP('Opći dio'!$C$3,'Opći dio'!$L$6:$U$136,9,FALSE))</f>
        <v/>
      </c>
      <c r="C279" s="187" t="str">
        <f t="shared" si="23"/>
        <v/>
      </c>
      <c r="D279" s="138" t="str">
        <f t="shared" si="24"/>
        <v/>
      </c>
      <c r="E279" s="150"/>
      <c r="F279" s="191" t="str">
        <f t="shared" si="25"/>
        <v/>
      </c>
      <c r="G279" s="185"/>
      <c r="H279" s="185"/>
      <c r="I279" s="185"/>
      <c r="K279" s="141" t="str">
        <f t="shared" si="26"/>
        <v/>
      </c>
      <c r="L279" s="141" t="str">
        <f t="shared" si="27"/>
        <v/>
      </c>
    </row>
    <row r="280" spans="1:12">
      <c r="A280" s="139" t="str">
        <f>IF(E280="","",VLOOKUP('Opći dio'!$C$3,'Opći dio'!$L$6:$U$136,10,FALSE))</f>
        <v/>
      </c>
      <c r="B280" s="139" t="str">
        <f>IF(E280="","",VLOOKUP('Opći dio'!$C$3,'Opći dio'!$L$6:$U$136,9,FALSE))</f>
        <v/>
      </c>
      <c r="C280" s="187" t="str">
        <f t="shared" si="23"/>
        <v/>
      </c>
      <c r="D280" s="138" t="str">
        <f t="shared" si="24"/>
        <v/>
      </c>
      <c r="E280" s="150"/>
      <c r="F280" s="191" t="str">
        <f t="shared" si="25"/>
        <v/>
      </c>
      <c r="G280" s="185"/>
      <c r="H280" s="185"/>
      <c r="I280" s="185"/>
      <c r="K280" s="141" t="str">
        <f t="shared" si="26"/>
        <v/>
      </c>
      <c r="L280" s="141" t="str">
        <f t="shared" si="27"/>
        <v/>
      </c>
    </row>
    <row r="281" spans="1:12">
      <c r="A281" s="139" t="str">
        <f>IF(E281="","",VLOOKUP('Opći dio'!$C$3,'Opći dio'!$L$6:$U$136,10,FALSE))</f>
        <v/>
      </c>
      <c r="B281" s="139" t="str">
        <f>IF(E281="","",VLOOKUP('Opći dio'!$C$3,'Opći dio'!$L$6:$U$136,9,FALSE))</f>
        <v/>
      </c>
      <c r="C281" s="187" t="str">
        <f t="shared" si="23"/>
        <v/>
      </c>
      <c r="D281" s="138" t="str">
        <f t="shared" si="24"/>
        <v/>
      </c>
      <c r="E281" s="150"/>
      <c r="F281" s="191" t="str">
        <f t="shared" si="25"/>
        <v/>
      </c>
      <c r="G281" s="185"/>
      <c r="H281" s="185"/>
      <c r="I281" s="185"/>
      <c r="K281" s="141" t="str">
        <f t="shared" si="26"/>
        <v/>
      </c>
      <c r="L281" s="141" t="str">
        <f t="shared" si="27"/>
        <v/>
      </c>
    </row>
    <row r="282" spans="1:12">
      <c r="A282" s="139" t="str">
        <f>IF(E282="","",VLOOKUP('Opći dio'!$C$3,'Opći dio'!$L$6:$U$136,10,FALSE))</f>
        <v/>
      </c>
      <c r="B282" s="139" t="str">
        <f>IF(E282="","",VLOOKUP('Opći dio'!$C$3,'Opći dio'!$L$6:$U$136,9,FALSE))</f>
        <v/>
      </c>
      <c r="C282" s="187" t="str">
        <f t="shared" si="23"/>
        <v/>
      </c>
      <c r="D282" s="138" t="str">
        <f t="shared" si="24"/>
        <v/>
      </c>
      <c r="E282" s="150"/>
      <c r="F282" s="191" t="str">
        <f t="shared" si="25"/>
        <v/>
      </c>
      <c r="G282" s="185"/>
      <c r="H282" s="185"/>
      <c r="I282" s="185"/>
      <c r="K282" s="141" t="str">
        <f t="shared" si="26"/>
        <v/>
      </c>
      <c r="L282" s="141" t="str">
        <f t="shared" si="27"/>
        <v/>
      </c>
    </row>
    <row r="283" spans="1:12">
      <c r="A283" s="139" t="str">
        <f>IF(E283="","",VLOOKUP('Opći dio'!$C$3,'Opći dio'!$L$6:$U$136,10,FALSE))</f>
        <v/>
      </c>
      <c r="B283" s="139" t="str">
        <f>IF(E283="","",VLOOKUP('Opći dio'!$C$3,'Opći dio'!$L$6:$U$136,9,FALSE))</f>
        <v/>
      </c>
      <c r="C283" s="187" t="str">
        <f t="shared" si="23"/>
        <v/>
      </c>
      <c r="D283" s="138" t="str">
        <f t="shared" si="24"/>
        <v/>
      </c>
      <c r="E283" s="150"/>
      <c r="F283" s="191" t="str">
        <f t="shared" si="25"/>
        <v/>
      </c>
      <c r="G283" s="185"/>
      <c r="H283" s="185"/>
      <c r="I283" s="185"/>
      <c r="K283" s="141" t="str">
        <f t="shared" si="26"/>
        <v/>
      </c>
      <c r="L283" s="141" t="str">
        <f t="shared" si="27"/>
        <v/>
      </c>
    </row>
    <row r="284" spans="1:12">
      <c r="A284" s="139" t="str">
        <f>IF(E284="","",VLOOKUP('Opći dio'!$C$3,'Opći dio'!$L$6:$U$136,10,FALSE))</f>
        <v/>
      </c>
      <c r="B284" s="139" t="str">
        <f>IF(E284="","",VLOOKUP('Opći dio'!$C$3,'Opći dio'!$L$6:$U$136,9,FALSE))</f>
        <v/>
      </c>
      <c r="C284" s="187" t="str">
        <f t="shared" si="23"/>
        <v/>
      </c>
      <c r="D284" s="138" t="str">
        <f t="shared" si="24"/>
        <v/>
      </c>
      <c r="E284" s="150"/>
      <c r="F284" s="191" t="str">
        <f t="shared" si="25"/>
        <v/>
      </c>
      <c r="G284" s="185"/>
      <c r="H284" s="185"/>
      <c r="I284" s="185"/>
      <c r="K284" s="141" t="str">
        <f t="shared" si="26"/>
        <v/>
      </c>
      <c r="L284" s="141" t="str">
        <f t="shared" si="27"/>
        <v/>
      </c>
    </row>
    <row r="285" spans="1:12">
      <c r="A285" s="139" t="str">
        <f>IF(E285="","",VLOOKUP('Opći dio'!$C$3,'Opći dio'!$L$6:$U$136,10,FALSE))</f>
        <v/>
      </c>
      <c r="B285" s="139" t="str">
        <f>IF(E285="","",VLOOKUP('Opći dio'!$C$3,'Opći dio'!$L$6:$U$136,9,FALSE))</f>
        <v/>
      </c>
      <c r="C285" s="187" t="str">
        <f t="shared" si="23"/>
        <v/>
      </c>
      <c r="D285" s="138" t="str">
        <f t="shared" si="24"/>
        <v/>
      </c>
      <c r="E285" s="150"/>
      <c r="F285" s="191" t="str">
        <f t="shared" si="25"/>
        <v/>
      </c>
      <c r="G285" s="185"/>
      <c r="H285" s="185"/>
      <c r="I285" s="185"/>
      <c r="K285" s="141" t="str">
        <f t="shared" si="26"/>
        <v/>
      </c>
      <c r="L285" s="141" t="str">
        <f t="shared" si="27"/>
        <v/>
      </c>
    </row>
    <row r="286" spans="1:12">
      <c r="A286" s="139" t="str">
        <f>IF(E286="","",VLOOKUP('Opći dio'!$C$3,'Opći dio'!$L$6:$U$136,10,FALSE))</f>
        <v/>
      </c>
      <c r="B286" s="139" t="str">
        <f>IF(E286="","",VLOOKUP('Opći dio'!$C$3,'Opći dio'!$L$6:$U$136,9,FALSE))</f>
        <v/>
      </c>
      <c r="C286" s="187" t="str">
        <f t="shared" si="23"/>
        <v/>
      </c>
      <c r="D286" s="138" t="str">
        <f t="shared" si="24"/>
        <v/>
      </c>
      <c r="E286" s="150"/>
      <c r="F286" s="191" t="str">
        <f t="shared" si="25"/>
        <v/>
      </c>
      <c r="G286" s="185"/>
      <c r="H286" s="185"/>
      <c r="I286" s="185"/>
      <c r="K286" s="141" t="str">
        <f t="shared" si="26"/>
        <v/>
      </c>
      <c r="L286" s="141" t="str">
        <f t="shared" si="27"/>
        <v/>
      </c>
    </row>
    <row r="287" spans="1:12">
      <c r="A287" s="139" t="str">
        <f>IF(E287="","",VLOOKUP('Opći dio'!$C$3,'Opći dio'!$L$6:$U$136,10,FALSE))</f>
        <v/>
      </c>
      <c r="B287" s="139" t="str">
        <f>IF(E287="","",VLOOKUP('Opći dio'!$C$3,'Opći dio'!$L$6:$U$136,9,FALSE))</f>
        <v/>
      </c>
      <c r="C287" s="187" t="str">
        <f t="shared" si="23"/>
        <v/>
      </c>
      <c r="D287" s="138" t="str">
        <f t="shared" si="24"/>
        <v/>
      </c>
      <c r="E287" s="150"/>
      <c r="F287" s="191" t="str">
        <f t="shared" si="25"/>
        <v/>
      </c>
      <c r="G287" s="185"/>
      <c r="H287" s="185"/>
      <c r="I287" s="185"/>
      <c r="K287" s="141" t="str">
        <f t="shared" si="26"/>
        <v/>
      </c>
      <c r="L287" s="141" t="str">
        <f t="shared" si="27"/>
        <v/>
      </c>
    </row>
    <row r="288" spans="1:12">
      <c r="A288" s="139" t="str">
        <f>IF(E288="","",VLOOKUP('Opći dio'!$C$3,'Opći dio'!$L$6:$U$136,10,FALSE))</f>
        <v/>
      </c>
      <c r="B288" s="139" t="str">
        <f>IF(E288="","",VLOOKUP('Opći dio'!$C$3,'Opći dio'!$L$6:$U$136,9,FALSE))</f>
        <v/>
      </c>
      <c r="C288" s="187" t="str">
        <f t="shared" si="23"/>
        <v/>
      </c>
      <c r="D288" s="138" t="str">
        <f t="shared" si="24"/>
        <v/>
      </c>
      <c r="E288" s="150"/>
      <c r="F288" s="191" t="str">
        <f t="shared" si="25"/>
        <v/>
      </c>
      <c r="G288" s="185"/>
      <c r="H288" s="185"/>
      <c r="I288" s="185"/>
      <c r="K288" s="141" t="str">
        <f t="shared" si="26"/>
        <v/>
      </c>
      <c r="L288" s="141" t="str">
        <f t="shared" si="27"/>
        <v/>
      </c>
    </row>
    <row r="289" spans="1:12">
      <c r="A289" s="139" t="str">
        <f>IF(E289="","",VLOOKUP('Opći dio'!$C$3,'Opći dio'!$L$6:$U$136,10,FALSE))</f>
        <v/>
      </c>
      <c r="B289" s="139" t="str">
        <f>IF(E289="","",VLOOKUP('Opći dio'!$C$3,'Opći dio'!$L$6:$U$136,9,FALSE))</f>
        <v/>
      </c>
      <c r="C289" s="187" t="str">
        <f t="shared" si="23"/>
        <v/>
      </c>
      <c r="D289" s="138" t="str">
        <f t="shared" si="24"/>
        <v/>
      </c>
      <c r="E289" s="150"/>
      <c r="F289" s="191" t="str">
        <f t="shared" si="25"/>
        <v/>
      </c>
      <c r="G289" s="185"/>
      <c r="H289" s="185"/>
      <c r="I289" s="185"/>
      <c r="K289" s="141" t="str">
        <f t="shared" si="26"/>
        <v/>
      </c>
      <c r="L289" s="141" t="str">
        <f t="shared" si="27"/>
        <v/>
      </c>
    </row>
    <row r="290" spans="1:12">
      <c r="A290" s="139" t="str">
        <f>IF(E290="","",VLOOKUP('Opći dio'!$C$3,'Opći dio'!$L$6:$U$136,10,FALSE))</f>
        <v/>
      </c>
      <c r="B290" s="139" t="str">
        <f>IF(E290="","",VLOOKUP('Opći dio'!$C$3,'Opći dio'!$L$6:$U$136,9,FALSE))</f>
        <v/>
      </c>
      <c r="C290" s="187" t="str">
        <f t="shared" si="23"/>
        <v/>
      </c>
      <c r="D290" s="138" t="str">
        <f t="shared" si="24"/>
        <v/>
      </c>
      <c r="E290" s="150"/>
      <c r="F290" s="191" t="str">
        <f t="shared" si="25"/>
        <v/>
      </c>
      <c r="G290" s="185"/>
      <c r="H290" s="185"/>
      <c r="I290" s="185"/>
      <c r="K290" s="141" t="str">
        <f t="shared" si="26"/>
        <v/>
      </c>
      <c r="L290" s="141" t="str">
        <f t="shared" si="27"/>
        <v/>
      </c>
    </row>
    <row r="291" spans="1:12">
      <c r="A291" s="139" t="str">
        <f>IF(E291="","",VLOOKUP('Opći dio'!$C$3,'Opći dio'!$L$6:$U$136,10,FALSE))</f>
        <v/>
      </c>
      <c r="B291" s="139" t="str">
        <f>IF(E291="","",VLOOKUP('Opći dio'!$C$3,'Opći dio'!$L$6:$U$136,9,FALSE))</f>
        <v/>
      </c>
      <c r="C291" s="187" t="str">
        <f t="shared" si="23"/>
        <v/>
      </c>
      <c r="D291" s="138" t="str">
        <f t="shared" si="24"/>
        <v/>
      </c>
      <c r="E291" s="150"/>
      <c r="F291" s="191" t="str">
        <f t="shared" si="25"/>
        <v/>
      </c>
      <c r="G291" s="185"/>
      <c r="H291" s="185"/>
      <c r="I291" s="185"/>
      <c r="K291" s="141" t="str">
        <f t="shared" si="26"/>
        <v/>
      </c>
      <c r="L291" s="141" t="str">
        <f t="shared" si="27"/>
        <v/>
      </c>
    </row>
    <row r="292" spans="1:12">
      <c r="A292" s="139" t="str">
        <f>IF(E292="","",VLOOKUP('Opći dio'!$C$3,'Opći dio'!$L$6:$U$136,10,FALSE))</f>
        <v/>
      </c>
      <c r="B292" s="139" t="str">
        <f>IF(E292="","",VLOOKUP('Opći dio'!$C$3,'Opći dio'!$L$6:$U$136,9,FALSE))</f>
        <v/>
      </c>
      <c r="C292" s="187" t="str">
        <f t="shared" si="23"/>
        <v/>
      </c>
      <c r="D292" s="138" t="str">
        <f t="shared" si="24"/>
        <v/>
      </c>
      <c r="E292" s="150"/>
      <c r="F292" s="191" t="str">
        <f t="shared" si="25"/>
        <v/>
      </c>
      <c r="G292" s="185"/>
      <c r="H292" s="185"/>
      <c r="I292" s="185"/>
      <c r="K292" s="141" t="str">
        <f t="shared" si="26"/>
        <v/>
      </c>
      <c r="L292" s="141" t="str">
        <f t="shared" si="27"/>
        <v/>
      </c>
    </row>
    <row r="293" spans="1:12">
      <c r="A293" s="139" t="str">
        <f>IF(E293="","",VLOOKUP('Opći dio'!$C$3,'Opći dio'!$L$6:$U$136,10,FALSE))</f>
        <v/>
      </c>
      <c r="B293" s="139" t="str">
        <f>IF(E293="","",VLOOKUP('Opći dio'!$C$3,'Opći dio'!$L$6:$U$136,9,FALSE))</f>
        <v/>
      </c>
      <c r="C293" s="187" t="str">
        <f t="shared" si="23"/>
        <v/>
      </c>
      <c r="D293" s="138" t="str">
        <f t="shared" si="24"/>
        <v/>
      </c>
      <c r="E293" s="150"/>
      <c r="F293" s="191" t="str">
        <f t="shared" si="25"/>
        <v/>
      </c>
      <c r="G293" s="185"/>
      <c r="H293" s="185"/>
      <c r="I293" s="185"/>
      <c r="K293" s="141" t="str">
        <f t="shared" si="26"/>
        <v/>
      </c>
      <c r="L293" s="141" t="str">
        <f t="shared" si="27"/>
        <v/>
      </c>
    </row>
    <row r="294" spans="1:12">
      <c r="A294" s="139" t="str">
        <f>IF(E294="","",VLOOKUP('Opći dio'!$C$3,'Opći dio'!$L$6:$U$136,10,FALSE))</f>
        <v/>
      </c>
      <c r="B294" s="139" t="str">
        <f>IF(E294="","",VLOOKUP('Opći dio'!$C$3,'Opći dio'!$L$6:$U$136,9,FALSE))</f>
        <v/>
      </c>
      <c r="C294" s="187" t="str">
        <f t="shared" si="23"/>
        <v/>
      </c>
      <c r="D294" s="138" t="str">
        <f t="shared" si="24"/>
        <v/>
      </c>
      <c r="E294" s="150"/>
      <c r="F294" s="191" t="str">
        <f t="shared" si="25"/>
        <v/>
      </c>
      <c r="G294" s="185"/>
      <c r="H294" s="185"/>
      <c r="I294" s="185"/>
      <c r="K294" s="141" t="str">
        <f t="shared" si="26"/>
        <v/>
      </c>
      <c r="L294" s="141" t="str">
        <f t="shared" si="27"/>
        <v/>
      </c>
    </row>
    <row r="295" spans="1:12">
      <c r="A295" s="139" t="str">
        <f>IF(E295="","",VLOOKUP('Opći dio'!$C$3,'Opći dio'!$L$6:$U$136,10,FALSE))</f>
        <v/>
      </c>
      <c r="B295" s="139" t="str">
        <f>IF(E295="","",VLOOKUP('Opći dio'!$C$3,'Opći dio'!$L$6:$U$136,9,FALSE))</f>
        <v/>
      </c>
      <c r="C295" s="187" t="str">
        <f t="shared" si="23"/>
        <v/>
      </c>
      <c r="D295" s="138" t="str">
        <f t="shared" si="24"/>
        <v/>
      </c>
      <c r="E295" s="150"/>
      <c r="F295" s="191" t="str">
        <f t="shared" si="25"/>
        <v/>
      </c>
      <c r="G295" s="185"/>
      <c r="H295" s="185"/>
      <c r="I295" s="185"/>
      <c r="K295" s="141" t="str">
        <f t="shared" si="26"/>
        <v/>
      </c>
      <c r="L295" s="141" t="str">
        <f t="shared" si="27"/>
        <v/>
      </c>
    </row>
    <row r="296" spans="1:12">
      <c r="A296" s="139" t="str">
        <f>IF(E296="","",VLOOKUP('Opći dio'!$C$3,'Opći dio'!$L$6:$U$136,10,FALSE))</f>
        <v/>
      </c>
      <c r="B296" s="139" t="str">
        <f>IF(E296="","",VLOOKUP('Opći dio'!$C$3,'Opći dio'!$L$6:$U$136,9,FALSE))</f>
        <v/>
      </c>
      <c r="C296" s="187" t="str">
        <f t="shared" si="23"/>
        <v/>
      </c>
      <c r="D296" s="138" t="str">
        <f t="shared" si="24"/>
        <v/>
      </c>
      <c r="E296" s="150"/>
      <c r="F296" s="191" t="str">
        <f t="shared" si="25"/>
        <v/>
      </c>
      <c r="G296" s="185"/>
      <c r="H296" s="185"/>
      <c r="I296" s="185"/>
      <c r="K296" s="141" t="str">
        <f t="shared" si="26"/>
        <v/>
      </c>
      <c r="L296" s="141" t="str">
        <f t="shared" si="27"/>
        <v/>
      </c>
    </row>
    <row r="297" spans="1:12">
      <c r="A297" s="139" t="str">
        <f>IF(E297="","",VLOOKUP('Opći dio'!$C$3,'Opći dio'!$L$6:$U$136,10,FALSE))</f>
        <v/>
      </c>
      <c r="B297" s="139" t="str">
        <f>IF(E297="","",VLOOKUP('Opći dio'!$C$3,'Opći dio'!$L$6:$U$136,9,FALSE))</f>
        <v/>
      </c>
      <c r="C297" s="187" t="str">
        <f t="shared" si="23"/>
        <v/>
      </c>
      <c r="D297" s="138" t="str">
        <f t="shared" si="24"/>
        <v/>
      </c>
      <c r="E297" s="150"/>
      <c r="F297" s="191" t="str">
        <f t="shared" si="25"/>
        <v/>
      </c>
      <c r="G297" s="185"/>
      <c r="H297" s="185"/>
      <c r="I297" s="185"/>
      <c r="K297" s="141" t="str">
        <f t="shared" si="26"/>
        <v/>
      </c>
      <c r="L297" s="141" t="str">
        <f t="shared" si="27"/>
        <v/>
      </c>
    </row>
    <row r="298" spans="1:12">
      <c r="A298" s="139" t="str">
        <f>IF(E298="","",VLOOKUP('Opći dio'!$C$3,'Opći dio'!$L$6:$U$136,10,FALSE))</f>
        <v/>
      </c>
      <c r="B298" s="139" t="str">
        <f>IF(E298="","",VLOOKUP('Opći dio'!$C$3,'Opći dio'!$L$6:$U$136,9,FALSE))</f>
        <v/>
      </c>
      <c r="C298" s="187" t="str">
        <f t="shared" si="23"/>
        <v/>
      </c>
      <c r="D298" s="138" t="str">
        <f t="shared" si="24"/>
        <v/>
      </c>
      <c r="E298" s="150"/>
      <c r="F298" s="191" t="str">
        <f t="shared" si="25"/>
        <v/>
      </c>
      <c r="G298" s="185"/>
      <c r="H298" s="185"/>
      <c r="I298" s="185"/>
      <c r="K298" s="141" t="str">
        <f t="shared" si="26"/>
        <v/>
      </c>
      <c r="L298" s="141" t="str">
        <f t="shared" si="27"/>
        <v/>
      </c>
    </row>
    <row r="299" spans="1:12">
      <c r="A299" s="139" t="str">
        <f>IF(E299="","",VLOOKUP('Opći dio'!$C$3,'Opći dio'!$L$6:$U$136,10,FALSE))</f>
        <v/>
      </c>
      <c r="B299" s="139" t="str">
        <f>IF(E299="","",VLOOKUP('Opći dio'!$C$3,'Opći dio'!$L$6:$U$136,9,FALSE))</f>
        <v/>
      </c>
      <c r="C299" s="187" t="str">
        <f t="shared" si="23"/>
        <v/>
      </c>
      <c r="D299" s="138" t="str">
        <f t="shared" si="24"/>
        <v/>
      </c>
      <c r="E299" s="150"/>
      <c r="F299" s="191" t="str">
        <f t="shared" si="25"/>
        <v/>
      </c>
      <c r="G299" s="185"/>
      <c r="H299" s="185"/>
      <c r="I299" s="185"/>
      <c r="K299" s="141" t="str">
        <f t="shared" si="26"/>
        <v/>
      </c>
      <c r="L299" s="141" t="str">
        <f t="shared" si="27"/>
        <v/>
      </c>
    </row>
    <row r="300" spans="1:12">
      <c r="A300" s="139" t="str">
        <f>IF(E300="","",VLOOKUP('Opći dio'!$C$3,'Opći dio'!$L$6:$U$136,10,FALSE))</f>
        <v/>
      </c>
      <c r="B300" s="139" t="str">
        <f>IF(E300="","",VLOOKUP('Opći dio'!$C$3,'Opći dio'!$L$6:$U$136,9,FALSE))</f>
        <v/>
      </c>
      <c r="C300" s="187" t="str">
        <f t="shared" si="23"/>
        <v/>
      </c>
      <c r="D300" s="138" t="str">
        <f t="shared" si="24"/>
        <v/>
      </c>
      <c r="E300" s="150"/>
      <c r="F300" s="191" t="str">
        <f t="shared" si="25"/>
        <v/>
      </c>
      <c r="G300" s="185"/>
      <c r="H300" s="185"/>
      <c r="I300" s="185"/>
      <c r="K300" s="141" t="str">
        <f t="shared" si="26"/>
        <v/>
      </c>
      <c r="L300" s="141" t="str">
        <f t="shared" si="27"/>
        <v/>
      </c>
    </row>
    <row r="301" spans="1:12">
      <c r="A301" s="139" t="str">
        <f>IF(E301="","",VLOOKUP('Opći dio'!$C$3,'Opći dio'!$L$6:$U$136,10,FALSE))</f>
        <v/>
      </c>
      <c r="B301" s="139" t="str">
        <f>IF(E301="","",VLOOKUP('Opći dio'!$C$3,'Opći dio'!$L$6:$U$136,9,FALSE))</f>
        <v/>
      </c>
      <c r="C301" s="187" t="str">
        <f t="shared" si="23"/>
        <v/>
      </c>
      <c r="D301" s="138" t="str">
        <f t="shared" si="24"/>
        <v/>
      </c>
      <c r="E301" s="150"/>
      <c r="F301" s="191" t="str">
        <f t="shared" si="25"/>
        <v/>
      </c>
      <c r="G301" s="185"/>
      <c r="H301" s="185"/>
      <c r="I301" s="185"/>
      <c r="K301" s="141" t="str">
        <f t="shared" si="26"/>
        <v/>
      </c>
      <c r="L301" s="141" t="str">
        <f t="shared" si="27"/>
        <v/>
      </c>
    </row>
    <row r="302" spans="1:12">
      <c r="A302" s="139" t="str">
        <f>IF(E302="","",VLOOKUP('Opći dio'!$C$3,'Opći dio'!$L$6:$U$136,10,FALSE))</f>
        <v/>
      </c>
      <c r="B302" s="139" t="str">
        <f>IF(E302="","",VLOOKUP('Opći dio'!$C$3,'Opći dio'!$L$6:$U$136,9,FALSE))</f>
        <v/>
      </c>
      <c r="C302" s="187" t="str">
        <f t="shared" si="23"/>
        <v/>
      </c>
      <c r="D302" s="138" t="str">
        <f t="shared" si="24"/>
        <v/>
      </c>
      <c r="E302" s="150"/>
      <c r="F302" s="191" t="str">
        <f t="shared" si="25"/>
        <v/>
      </c>
      <c r="G302" s="185"/>
      <c r="H302" s="185"/>
      <c r="I302" s="185"/>
      <c r="K302" s="141" t="str">
        <f t="shared" si="26"/>
        <v/>
      </c>
      <c r="L302" s="141" t="str">
        <f t="shared" si="27"/>
        <v/>
      </c>
    </row>
    <row r="303" spans="1:12">
      <c r="A303" s="139" t="str">
        <f>IF(E303="","",VLOOKUP('Opći dio'!$C$3,'Opći dio'!$L$6:$U$136,10,FALSE))</f>
        <v/>
      </c>
      <c r="B303" s="139" t="str">
        <f>IF(E303="","",VLOOKUP('Opći dio'!$C$3,'Opći dio'!$L$6:$U$136,9,FALSE))</f>
        <v/>
      </c>
      <c r="C303" s="187" t="str">
        <f t="shared" si="23"/>
        <v/>
      </c>
      <c r="D303" s="138" t="str">
        <f t="shared" si="24"/>
        <v/>
      </c>
      <c r="E303" s="150"/>
      <c r="F303" s="191" t="str">
        <f t="shared" si="25"/>
        <v/>
      </c>
      <c r="G303" s="185"/>
      <c r="H303" s="185"/>
      <c r="I303" s="185"/>
      <c r="K303" s="141" t="str">
        <f t="shared" si="26"/>
        <v/>
      </c>
      <c r="L303" s="141" t="str">
        <f t="shared" si="27"/>
        <v/>
      </c>
    </row>
    <row r="304" spans="1:12">
      <c r="A304" s="139" t="str">
        <f>IF(E304="","",VLOOKUP('Opći dio'!$C$3,'Opći dio'!$L$6:$U$136,10,FALSE))</f>
        <v/>
      </c>
      <c r="B304" s="139" t="str">
        <f>IF(E304="","",VLOOKUP('Opći dio'!$C$3,'Opći dio'!$L$6:$U$136,9,FALSE))</f>
        <v/>
      </c>
      <c r="C304" s="187" t="str">
        <f t="shared" si="23"/>
        <v/>
      </c>
      <c r="D304" s="138" t="str">
        <f t="shared" si="24"/>
        <v/>
      </c>
      <c r="E304" s="150"/>
      <c r="F304" s="191" t="str">
        <f t="shared" si="25"/>
        <v/>
      </c>
      <c r="G304" s="185"/>
      <c r="H304" s="185"/>
      <c r="I304" s="185"/>
      <c r="K304" s="141" t="str">
        <f t="shared" si="26"/>
        <v/>
      </c>
      <c r="L304" s="141" t="str">
        <f t="shared" si="27"/>
        <v/>
      </c>
    </row>
    <row r="305" spans="1:12">
      <c r="A305" s="139" t="str">
        <f>IF(E305="","",VLOOKUP('Opći dio'!$C$3,'Opći dio'!$L$6:$U$136,10,FALSE))</f>
        <v/>
      </c>
      <c r="B305" s="139" t="str">
        <f>IF(E305="","",VLOOKUP('Opći dio'!$C$3,'Opći dio'!$L$6:$U$136,9,FALSE))</f>
        <v/>
      </c>
      <c r="C305" s="187" t="str">
        <f t="shared" si="23"/>
        <v/>
      </c>
      <c r="D305" s="138" t="str">
        <f t="shared" si="24"/>
        <v/>
      </c>
      <c r="E305" s="150"/>
      <c r="F305" s="191" t="str">
        <f t="shared" si="25"/>
        <v/>
      </c>
      <c r="G305" s="185"/>
      <c r="H305" s="185"/>
      <c r="I305" s="185"/>
      <c r="K305" s="141" t="str">
        <f t="shared" si="26"/>
        <v/>
      </c>
      <c r="L305" s="141" t="str">
        <f t="shared" si="27"/>
        <v/>
      </c>
    </row>
    <row r="306" spans="1:12">
      <c r="A306" s="139" t="str">
        <f>IF(E306="","",VLOOKUP('Opći dio'!$C$3,'Opći dio'!$L$6:$U$136,10,FALSE))</f>
        <v/>
      </c>
      <c r="B306" s="139" t="str">
        <f>IF(E306="","",VLOOKUP('Opći dio'!$C$3,'Opći dio'!$L$6:$U$136,9,FALSE))</f>
        <v/>
      </c>
      <c r="C306" s="187" t="str">
        <f t="shared" si="23"/>
        <v/>
      </c>
      <c r="D306" s="138" t="str">
        <f t="shared" si="24"/>
        <v/>
      </c>
      <c r="E306" s="150"/>
      <c r="F306" s="191" t="str">
        <f t="shared" si="25"/>
        <v/>
      </c>
      <c r="G306" s="185"/>
      <c r="H306" s="185"/>
      <c r="I306" s="185"/>
      <c r="K306" s="141" t="str">
        <f t="shared" si="26"/>
        <v/>
      </c>
      <c r="L306" s="141" t="str">
        <f t="shared" si="27"/>
        <v/>
      </c>
    </row>
    <row r="307" spans="1:12">
      <c r="A307" s="139" t="str">
        <f>IF(E307="","",VLOOKUP('Opći dio'!$C$3,'Opći dio'!$L$6:$U$136,10,FALSE))</f>
        <v/>
      </c>
      <c r="B307" s="139" t="str">
        <f>IF(E307="","",VLOOKUP('Opći dio'!$C$3,'Opći dio'!$L$6:$U$136,9,FALSE))</f>
        <v/>
      </c>
      <c r="C307" s="187" t="str">
        <f t="shared" si="23"/>
        <v/>
      </c>
      <c r="D307" s="138" t="str">
        <f t="shared" si="24"/>
        <v/>
      </c>
      <c r="E307" s="150"/>
      <c r="F307" s="191" t="str">
        <f t="shared" si="25"/>
        <v/>
      </c>
      <c r="G307" s="185"/>
      <c r="H307" s="185"/>
      <c r="I307" s="185"/>
      <c r="K307" s="141" t="str">
        <f t="shared" si="26"/>
        <v/>
      </c>
      <c r="L307" s="141" t="str">
        <f t="shared" si="27"/>
        <v/>
      </c>
    </row>
    <row r="308" spans="1:12">
      <c r="A308" s="139" t="str">
        <f>IF(E308="","",VLOOKUP('Opći dio'!$C$3,'Opći dio'!$L$6:$U$136,10,FALSE))</f>
        <v/>
      </c>
      <c r="B308" s="139" t="str">
        <f>IF(E308="","",VLOOKUP('Opći dio'!$C$3,'Opći dio'!$L$6:$U$136,9,FALSE))</f>
        <v/>
      </c>
      <c r="C308" s="187" t="str">
        <f t="shared" si="23"/>
        <v/>
      </c>
      <c r="D308" s="138" t="str">
        <f t="shared" si="24"/>
        <v/>
      </c>
      <c r="E308" s="150"/>
      <c r="F308" s="191" t="str">
        <f t="shared" si="25"/>
        <v/>
      </c>
      <c r="G308" s="185"/>
      <c r="H308" s="185"/>
      <c r="I308" s="185"/>
      <c r="K308" s="141" t="str">
        <f t="shared" si="26"/>
        <v/>
      </c>
      <c r="L308" s="141" t="str">
        <f t="shared" si="27"/>
        <v/>
      </c>
    </row>
    <row r="309" spans="1:12">
      <c r="A309" s="139" t="str">
        <f>IF(E309="","",VLOOKUP('Opći dio'!$C$3,'Opći dio'!$L$6:$U$136,10,FALSE))</f>
        <v/>
      </c>
      <c r="B309" s="139" t="str">
        <f>IF(E309="","",VLOOKUP('Opći dio'!$C$3,'Opći dio'!$L$6:$U$136,9,FALSE))</f>
        <v/>
      </c>
      <c r="C309" s="187" t="str">
        <f t="shared" si="23"/>
        <v/>
      </c>
      <c r="D309" s="138" t="str">
        <f t="shared" si="24"/>
        <v/>
      </c>
      <c r="E309" s="150"/>
      <c r="F309" s="191" t="str">
        <f t="shared" si="25"/>
        <v/>
      </c>
      <c r="G309" s="185"/>
      <c r="H309" s="185"/>
      <c r="I309" s="185"/>
      <c r="K309" s="141" t="str">
        <f t="shared" si="26"/>
        <v/>
      </c>
      <c r="L309" s="141" t="str">
        <f t="shared" si="27"/>
        <v/>
      </c>
    </row>
    <row r="310" spans="1:12">
      <c r="A310" s="139" t="str">
        <f>IF(E310="","",VLOOKUP('Opći dio'!$C$3,'Opći dio'!$L$6:$U$136,10,FALSE))</f>
        <v/>
      </c>
      <c r="B310" s="139" t="str">
        <f>IF(E310="","",VLOOKUP('Opći dio'!$C$3,'Opći dio'!$L$6:$U$136,9,FALSE))</f>
        <v/>
      </c>
      <c r="C310" s="187" t="str">
        <f t="shared" si="23"/>
        <v/>
      </c>
      <c r="D310" s="138" t="str">
        <f t="shared" si="24"/>
        <v/>
      </c>
      <c r="E310" s="150"/>
      <c r="F310" s="191" t="str">
        <f t="shared" si="25"/>
        <v/>
      </c>
      <c r="G310" s="185"/>
      <c r="H310" s="185"/>
      <c r="I310" s="185"/>
      <c r="K310" s="141" t="str">
        <f t="shared" si="26"/>
        <v/>
      </c>
      <c r="L310" s="141" t="str">
        <f t="shared" si="27"/>
        <v/>
      </c>
    </row>
    <row r="311" spans="1:12">
      <c r="A311" s="139" t="str">
        <f>IF(E311="","",VLOOKUP('Opći dio'!$C$3,'Opći dio'!$L$6:$U$136,10,FALSE))</f>
        <v/>
      </c>
      <c r="B311" s="139" t="str">
        <f>IF(E311="","",VLOOKUP('Opći dio'!$C$3,'Opći dio'!$L$6:$U$136,9,FALSE))</f>
        <v/>
      </c>
      <c r="C311" s="187" t="str">
        <f t="shared" si="23"/>
        <v/>
      </c>
      <c r="D311" s="138" t="str">
        <f t="shared" si="24"/>
        <v/>
      </c>
      <c r="E311" s="150"/>
      <c r="F311" s="191" t="str">
        <f t="shared" si="25"/>
        <v/>
      </c>
      <c r="G311" s="185"/>
      <c r="H311" s="185"/>
      <c r="I311" s="185"/>
      <c r="K311" s="141" t="str">
        <f t="shared" si="26"/>
        <v/>
      </c>
      <c r="L311" s="141" t="str">
        <f t="shared" si="27"/>
        <v/>
      </c>
    </row>
    <row r="312" spans="1:12">
      <c r="A312" s="139" t="str">
        <f>IF(E312="","",VLOOKUP('Opći dio'!$C$3,'Opći dio'!$L$6:$U$136,10,FALSE))</f>
        <v/>
      </c>
      <c r="B312" s="139" t="str">
        <f>IF(E312="","",VLOOKUP('Opći dio'!$C$3,'Opći dio'!$L$6:$U$136,9,FALSE))</f>
        <v/>
      </c>
      <c r="C312" s="187" t="str">
        <f t="shared" si="23"/>
        <v/>
      </c>
      <c r="D312" s="138" t="str">
        <f t="shared" si="24"/>
        <v/>
      </c>
      <c r="E312" s="150"/>
      <c r="F312" s="191" t="str">
        <f t="shared" si="25"/>
        <v/>
      </c>
      <c r="G312" s="185"/>
      <c r="H312" s="185"/>
      <c r="I312" s="185"/>
      <c r="K312" s="141" t="str">
        <f t="shared" si="26"/>
        <v/>
      </c>
      <c r="L312" s="141" t="str">
        <f t="shared" si="27"/>
        <v/>
      </c>
    </row>
    <row r="313" spans="1:12">
      <c r="A313" s="139" t="str">
        <f>IF(E313="","",VLOOKUP('Opći dio'!$C$3,'Opći dio'!$L$6:$U$136,10,FALSE))</f>
        <v/>
      </c>
      <c r="B313" s="139" t="str">
        <f>IF(E313="","",VLOOKUP('Opći dio'!$C$3,'Opći dio'!$L$6:$U$136,9,FALSE))</f>
        <v/>
      </c>
      <c r="C313" s="187" t="str">
        <f t="shared" si="23"/>
        <v/>
      </c>
      <c r="D313" s="138" t="str">
        <f t="shared" si="24"/>
        <v/>
      </c>
      <c r="E313" s="150"/>
      <c r="F313" s="191" t="str">
        <f t="shared" si="25"/>
        <v/>
      </c>
      <c r="G313" s="185"/>
      <c r="H313" s="185"/>
      <c r="I313" s="185"/>
      <c r="K313" s="141" t="str">
        <f t="shared" si="26"/>
        <v/>
      </c>
      <c r="L313" s="141" t="str">
        <f t="shared" si="27"/>
        <v/>
      </c>
    </row>
    <row r="314" spans="1:12">
      <c r="A314" s="139" t="str">
        <f>IF(E314="","",VLOOKUP('Opći dio'!$C$3,'Opći dio'!$L$6:$U$136,10,FALSE))</f>
        <v/>
      </c>
      <c r="B314" s="139" t="str">
        <f>IF(E314="","",VLOOKUP('Opći dio'!$C$3,'Opći dio'!$L$6:$U$136,9,FALSE))</f>
        <v/>
      </c>
      <c r="C314" s="187" t="str">
        <f t="shared" si="23"/>
        <v/>
      </c>
      <c r="D314" s="138" t="str">
        <f t="shared" si="24"/>
        <v/>
      </c>
      <c r="E314" s="150"/>
      <c r="F314" s="191" t="str">
        <f t="shared" si="25"/>
        <v/>
      </c>
      <c r="G314" s="185"/>
      <c r="H314" s="185"/>
      <c r="I314" s="185"/>
      <c r="K314" s="141" t="str">
        <f t="shared" si="26"/>
        <v/>
      </c>
      <c r="L314" s="141" t="str">
        <f t="shared" si="27"/>
        <v/>
      </c>
    </row>
    <row r="315" spans="1:12">
      <c r="A315" s="139" t="str">
        <f>IF(E315="","",VLOOKUP('Opći dio'!$C$3,'Opći dio'!$L$6:$U$136,10,FALSE))</f>
        <v/>
      </c>
      <c r="B315" s="139" t="str">
        <f>IF(E315="","",VLOOKUP('Opći dio'!$C$3,'Opći dio'!$L$6:$U$136,9,FALSE))</f>
        <v/>
      </c>
      <c r="C315" s="187" t="str">
        <f t="shared" si="23"/>
        <v/>
      </c>
      <c r="D315" s="138" t="str">
        <f t="shared" si="24"/>
        <v/>
      </c>
      <c r="E315" s="150"/>
      <c r="F315" s="191" t="str">
        <f t="shared" si="25"/>
        <v/>
      </c>
      <c r="G315" s="185"/>
      <c r="H315" s="185"/>
      <c r="I315" s="185"/>
      <c r="K315" s="141" t="str">
        <f t="shared" si="26"/>
        <v/>
      </c>
      <c r="L315" s="141" t="str">
        <f t="shared" si="27"/>
        <v/>
      </c>
    </row>
    <row r="316" spans="1:12">
      <c r="A316" s="139" t="str">
        <f>IF(E316="","",VLOOKUP('Opći dio'!$C$3,'Opći dio'!$L$6:$U$136,10,FALSE))</f>
        <v/>
      </c>
      <c r="B316" s="139" t="str">
        <f>IF(E316="","",VLOOKUP('Opći dio'!$C$3,'Opći dio'!$L$6:$U$136,9,FALSE))</f>
        <v/>
      </c>
      <c r="C316" s="187" t="str">
        <f t="shared" si="23"/>
        <v/>
      </c>
      <c r="D316" s="138" t="str">
        <f t="shared" si="24"/>
        <v/>
      </c>
      <c r="E316" s="150"/>
      <c r="F316" s="191" t="str">
        <f t="shared" si="25"/>
        <v/>
      </c>
      <c r="G316" s="185"/>
      <c r="H316" s="185"/>
      <c r="I316" s="185"/>
      <c r="K316" s="141" t="str">
        <f t="shared" si="26"/>
        <v/>
      </c>
      <c r="L316" s="141" t="str">
        <f t="shared" si="27"/>
        <v/>
      </c>
    </row>
    <row r="317" spans="1:12">
      <c r="A317" s="139" t="str">
        <f>IF(E317="","",VLOOKUP('Opći dio'!$C$3,'Opći dio'!$L$6:$U$136,10,FALSE))</f>
        <v/>
      </c>
      <c r="B317" s="139" t="str">
        <f>IF(E317="","",VLOOKUP('Opći dio'!$C$3,'Opći dio'!$L$6:$U$136,9,FALSE))</f>
        <v/>
      </c>
      <c r="C317" s="187" t="str">
        <f t="shared" si="23"/>
        <v/>
      </c>
      <c r="D317" s="138" t="str">
        <f t="shared" si="24"/>
        <v/>
      </c>
      <c r="E317" s="150"/>
      <c r="F317" s="191" t="str">
        <f t="shared" si="25"/>
        <v/>
      </c>
      <c r="G317" s="185"/>
      <c r="H317" s="185"/>
      <c r="I317" s="185"/>
      <c r="K317" s="141" t="str">
        <f t="shared" si="26"/>
        <v/>
      </c>
      <c r="L317" s="141" t="str">
        <f t="shared" si="27"/>
        <v/>
      </c>
    </row>
    <row r="318" spans="1:12">
      <c r="A318" s="139" t="str">
        <f>IF(E318="","",VLOOKUP('Opći dio'!$C$3,'Opći dio'!$L$6:$U$136,10,FALSE))</f>
        <v/>
      </c>
      <c r="B318" s="139" t="str">
        <f>IF(E318="","",VLOOKUP('Opći dio'!$C$3,'Opći dio'!$L$6:$U$136,9,FALSE))</f>
        <v/>
      </c>
      <c r="C318" s="187" t="str">
        <f t="shared" si="23"/>
        <v/>
      </c>
      <c r="D318" s="138" t="str">
        <f t="shared" si="24"/>
        <v/>
      </c>
      <c r="E318" s="150"/>
      <c r="F318" s="191" t="str">
        <f t="shared" si="25"/>
        <v/>
      </c>
      <c r="G318" s="185"/>
      <c r="H318" s="185"/>
      <c r="I318" s="185"/>
      <c r="K318" s="141" t="str">
        <f t="shared" si="26"/>
        <v/>
      </c>
      <c r="L318" s="141" t="str">
        <f t="shared" si="27"/>
        <v/>
      </c>
    </row>
    <row r="319" spans="1:12">
      <c r="A319" s="139" t="str">
        <f>IF(E319="","",VLOOKUP('Opći dio'!$C$3,'Opći dio'!$L$6:$U$136,10,FALSE))</f>
        <v/>
      </c>
      <c r="B319" s="139" t="str">
        <f>IF(E319="","",VLOOKUP('Opći dio'!$C$3,'Opći dio'!$L$6:$U$136,9,FALSE))</f>
        <v/>
      </c>
      <c r="C319" s="187" t="str">
        <f t="shared" si="23"/>
        <v/>
      </c>
      <c r="D319" s="138" t="str">
        <f t="shared" si="24"/>
        <v/>
      </c>
      <c r="E319" s="150"/>
      <c r="F319" s="191" t="str">
        <f t="shared" si="25"/>
        <v/>
      </c>
      <c r="G319" s="185"/>
      <c r="H319" s="185"/>
      <c r="I319" s="185"/>
      <c r="K319" s="141" t="str">
        <f t="shared" si="26"/>
        <v/>
      </c>
      <c r="L319" s="141" t="str">
        <f t="shared" si="27"/>
        <v/>
      </c>
    </row>
    <row r="320" spans="1:12">
      <c r="A320" s="139" t="str">
        <f>IF(E320="","",VLOOKUP('Opći dio'!$C$3,'Opći dio'!$L$6:$U$136,10,FALSE))</f>
        <v/>
      </c>
      <c r="B320" s="139" t="str">
        <f>IF(E320="","",VLOOKUP('Opći dio'!$C$3,'Opći dio'!$L$6:$U$136,9,FALSE))</f>
        <v/>
      </c>
      <c r="C320" s="187" t="str">
        <f t="shared" si="23"/>
        <v/>
      </c>
      <c r="D320" s="138" t="str">
        <f t="shared" si="24"/>
        <v/>
      </c>
      <c r="E320" s="150"/>
      <c r="F320" s="191" t="str">
        <f t="shared" si="25"/>
        <v/>
      </c>
      <c r="G320" s="185"/>
      <c r="H320" s="185"/>
      <c r="I320" s="185"/>
      <c r="K320" s="141" t="str">
        <f t="shared" si="26"/>
        <v/>
      </c>
      <c r="L320" s="141" t="str">
        <f t="shared" si="27"/>
        <v/>
      </c>
    </row>
    <row r="321" spans="1:12">
      <c r="A321" s="139" t="str">
        <f>IF(E321="","",VLOOKUP('Opći dio'!$C$3,'Opći dio'!$L$6:$U$136,10,FALSE))</f>
        <v/>
      </c>
      <c r="B321" s="139" t="str">
        <f>IF(E321="","",VLOOKUP('Opći dio'!$C$3,'Opći dio'!$L$6:$U$136,9,FALSE))</f>
        <v/>
      </c>
      <c r="C321" s="187" t="str">
        <f t="shared" si="23"/>
        <v/>
      </c>
      <c r="D321" s="138" t="str">
        <f t="shared" si="24"/>
        <v/>
      </c>
      <c r="E321" s="150"/>
      <c r="F321" s="191" t="str">
        <f t="shared" si="25"/>
        <v/>
      </c>
      <c r="G321" s="185"/>
      <c r="H321" s="185"/>
      <c r="I321" s="185"/>
      <c r="K321" s="141" t="str">
        <f t="shared" si="26"/>
        <v/>
      </c>
      <c r="L321" s="141" t="str">
        <f t="shared" si="27"/>
        <v/>
      </c>
    </row>
    <row r="322" spans="1:12">
      <c r="A322" s="139" t="str">
        <f>IF(E322="","",VLOOKUP('Opći dio'!$C$3,'Opći dio'!$L$6:$U$136,10,FALSE))</f>
        <v/>
      </c>
      <c r="B322" s="139" t="str">
        <f>IF(E322="","",VLOOKUP('Opći dio'!$C$3,'Opći dio'!$L$6:$U$136,9,FALSE))</f>
        <v/>
      </c>
      <c r="C322" s="187" t="str">
        <f t="shared" si="23"/>
        <v/>
      </c>
      <c r="D322" s="138" t="str">
        <f t="shared" si="24"/>
        <v/>
      </c>
      <c r="E322" s="150"/>
      <c r="F322" s="191" t="str">
        <f t="shared" si="25"/>
        <v/>
      </c>
      <c r="G322" s="185"/>
      <c r="H322" s="185"/>
      <c r="I322" s="185"/>
      <c r="K322" s="141" t="str">
        <f t="shared" si="26"/>
        <v/>
      </c>
      <c r="L322" s="141" t="str">
        <f t="shared" si="27"/>
        <v/>
      </c>
    </row>
    <row r="323" spans="1:12">
      <c r="A323" s="139" t="str">
        <f>IF(E323="","",VLOOKUP('Opći dio'!$C$3,'Opći dio'!$L$6:$U$136,10,FALSE))</f>
        <v/>
      </c>
      <c r="B323" s="139" t="str">
        <f>IF(E323="","",VLOOKUP('Opći dio'!$C$3,'Opći dio'!$L$6:$U$136,9,FALSE))</f>
        <v/>
      </c>
      <c r="C323" s="187" t="str">
        <f t="shared" si="23"/>
        <v/>
      </c>
      <c r="D323" s="138" t="str">
        <f t="shared" si="24"/>
        <v/>
      </c>
      <c r="E323" s="150"/>
      <c r="F323" s="191" t="str">
        <f t="shared" si="25"/>
        <v/>
      </c>
      <c r="G323" s="185"/>
      <c r="H323" s="185"/>
      <c r="I323" s="185"/>
      <c r="K323" s="141" t="str">
        <f t="shared" si="26"/>
        <v/>
      </c>
      <c r="L323" s="141" t="str">
        <f t="shared" si="27"/>
        <v/>
      </c>
    </row>
    <row r="324" spans="1:12">
      <c r="A324" s="139" t="str">
        <f>IF(E324="","",VLOOKUP('Opći dio'!$C$3,'Opći dio'!$L$6:$U$136,10,FALSE))</f>
        <v/>
      </c>
      <c r="B324" s="139" t="str">
        <f>IF(E324="","",VLOOKUP('Opći dio'!$C$3,'Opći dio'!$L$6:$U$136,9,FALSE))</f>
        <v/>
      </c>
      <c r="C324" s="187" t="str">
        <f t="shared" ref="C324:C387" si="28">IFERROR(VLOOKUP(E324,$Q$6:$T$200,3,FALSE),"")</f>
        <v/>
      </c>
      <c r="D324" s="138" t="str">
        <f t="shared" ref="D324:D387" si="29">IFERROR(VLOOKUP(E324,$Q$6:$T$200,4,FALSE),"")</f>
        <v/>
      </c>
      <c r="E324" s="150"/>
      <c r="F324" s="191" t="str">
        <f t="shared" ref="F324:F387" si="30">IFERROR(VLOOKUP(E324,$Q$6:$T$200,2,FALSE),"")</f>
        <v/>
      </c>
      <c r="G324" s="185"/>
      <c r="H324" s="185"/>
      <c r="I324" s="185"/>
      <c r="K324" s="141" t="str">
        <f t="shared" ref="K324:K387" si="31">LEFT(E324,3)</f>
        <v/>
      </c>
      <c r="L324" s="141" t="str">
        <f t="shared" ref="L324:L387" si="32">LEFT(E324,2)</f>
        <v/>
      </c>
    </row>
    <row r="325" spans="1:12">
      <c r="A325" s="139" t="str">
        <f>IF(E325="","",VLOOKUP('Opći dio'!$C$3,'Opći dio'!$L$6:$U$136,10,FALSE))</f>
        <v/>
      </c>
      <c r="B325" s="139" t="str">
        <f>IF(E325="","",VLOOKUP('Opći dio'!$C$3,'Opći dio'!$L$6:$U$136,9,FALSE))</f>
        <v/>
      </c>
      <c r="C325" s="187" t="str">
        <f t="shared" si="28"/>
        <v/>
      </c>
      <c r="D325" s="138" t="str">
        <f t="shared" si="29"/>
        <v/>
      </c>
      <c r="E325" s="150"/>
      <c r="F325" s="191" t="str">
        <f t="shared" si="30"/>
        <v/>
      </c>
      <c r="G325" s="185"/>
      <c r="H325" s="185"/>
      <c r="I325" s="185"/>
      <c r="K325" s="141" t="str">
        <f t="shared" si="31"/>
        <v/>
      </c>
      <c r="L325" s="141" t="str">
        <f t="shared" si="32"/>
        <v/>
      </c>
    </row>
    <row r="326" spans="1:12">
      <c r="A326" s="139" t="str">
        <f>IF(E326="","",VLOOKUP('Opći dio'!$C$3,'Opći dio'!$L$6:$U$136,10,FALSE))</f>
        <v/>
      </c>
      <c r="B326" s="139" t="str">
        <f>IF(E326="","",VLOOKUP('Opći dio'!$C$3,'Opći dio'!$L$6:$U$136,9,FALSE))</f>
        <v/>
      </c>
      <c r="C326" s="187" t="str">
        <f t="shared" si="28"/>
        <v/>
      </c>
      <c r="D326" s="138" t="str">
        <f t="shared" si="29"/>
        <v/>
      </c>
      <c r="E326" s="150"/>
      <c r="F326" s="191" t="str">
        <f t="shared" si="30"/>
        <v/>
      </c>
      <c r="G326" s="185"/>
      <c r="H326" s="185"/>
      <c r="I326" s="185"/>
      <c r="K326" s="141" t="str">
        <f t="shared" si="31"/>
        <v/>
      </c>
      <c r="L326" s="141" t="str">
        <f t="shared" si="32"/>
        <v/>
      </c>
    </row>
    <row r="327" spans="1:12">
      <c r="A327" s="139" t="str">
        <f>IF(E327="","",VLOOKUP('Opći dio'!$C$3,'Opći dio'!$L$6:$U$136,10,FALSE))</f>
        <v/>
      </c>
      <c r="B327" s="139" t="str">
        <f>IF(E327="","",VLOOKUP('Opći dio'!$C$3,'Opći dio'!$L$6:$U$136,9,FALSE))</f>
        <v/>
      </c>
      <c r="C327" s="187" t="str">
        <f t="shared" si="28"/>
        <v/>
      </c>
      <c r="D327" s="138" t="str">
        <f t="shared" si="29"/>
        <v/>
      </c>
      <c r="E327" s="150"/>
      <c r="F327" s="191" t="str">
        <f t="shared" si="30"/>
        <v/>
      </c>
      <c r="G327" s="185"/>
      <c r="H327" s="185"/>
      <c r="I327" s="185"/>
      <c r="K327" s="141" t="str">
        <f t="shared" si="31"/>
        <v/>
      </c>
      <c r="L327" s="141" t="str">
        <f t="shared" si="32"/>
        <v/>
      </c>
    </row>
    <row r="328" spans="1:12">
      <c r="A328" s="139" t="str">
        <f>IF(E328="","",VLOOKUP('Opći dio'!$C$3,'Opći dio'!$L$6:$U$136,10,FALSE))</f>
        <v/>
      </c>
      <c r="B328" s="139" t="str">
        <f>IF(E328="","",VLOOKUP('Opći dio'!$C$3,'Opći dio'!$L$6:$U$136,9,FALSE))</f>
        <v/>
      </c>
      <c r="C328" s="187" t="str">
        <f t="shared" si="28"/>
        <v/>
      </c>
      <c r="D328" s="138" t="str">
        <f t="shared" si="29"/>
        <v/>
      </c>
      <c r="E328" s="150"/>
      <c r="F328" s="191" t="str">
        <f t="shared" si="30"/>
        <v/>
      </c>
      <c r="G328" s="185"/>
      <c r="H328" s="185"/>
      <c r="I328" s="185"/>
      <c r="K328" s="141" t="str">
        <f t="shared" si="31"/>
        <v/>
      </c>
      <c r="L328" s="141" t="str">
        <f t="shared" si="32"/>
        <v/>
      </c>
    </row>
    <row r="329" spans="1:12">
      <c r="A329" s="139" t="str">
        <f>IF(E329="","",VLOOKUP('Opći dio'!$C$3,'Opći dio'!$L$6:$U$136,10,FALSE))</f>
        <v/>
      </c>
      <c r="B329" s="139" t="str">
        <f>IF(E329="","",VLOOKUP('Opći dio'!$C$3,'Opći dio'!$L$6:$U$136,9,FALSE))</f>
        <v/>
      </c>
      <c r="C329" s="187" t="str">
        <f t="shared" si="28"/>
        <v/>
      </c>
      <c r="D329" s="138" t="str">
        <f t="shared" si="29"/>
        <v/>
      </c>
      <c r="E329" s="150"/>
      <c r="F329" s="191" t="str">
        <f t="shared" si="30"/>
        <v/>
      </c>
      <c r="G329" s="185"/>
      <c r="H329" s="185"/>
      <c r="I329" s="185"/>
      <c r="K329" s="141" t="str">
        <f t="shared" si="31"/>
        <v/>
      </c>
      <c r="L329" s="141" t="str">
        <f t="shared" si="32"/>
        <v/>
      </c>
    </row>
    <row r="330" spans="1:12">
      <c r="A330" s="139" t="str">
        <f>IF(E330="","",VLOOKUP('Opći dio'!$C$3,'Opći dio'!$L$6:$U$136,10,FALSE))</f>
        <v/>
      </c>
      <c r="B330" s="139" t="str">
        <f>IF(E330="","",VLOOKUP('Opći dio'!$C$3,'Opći dio'!$L$6:$U$136,9,FALSE))</f>
        <v/>
      </c>
      <c r="C330" s="187" t="str">
        <f t="shared" si="28"/>
        <v/>
      </c>
      <c r="D330" s="138" t="str">
        <f t="shared" si="29"/>
        <v/>
      </c>
      <c r="E330" s="150"/>
      <c r="F330" s="191" t="str">
        <f t="shared" si="30"/>
        <v/>
      </c>
      <c r="G330" s="185"/>
      <c r="H330" s="185"/>
      <c r="I330" s="185"/>
      <c r="K330" s="141" t="str">
        <f t="shared" si="31"/>
        <v/>
      </c>
      <c r="L330" s="141" t="str">
        <f t="shared" si="32"/>
        <v/>
      </c>
    </row>
    <row r="331" spans="1:12">
      <c r="A331" s="139" t="str">
        <f>IF(E331="","",VLOOKUP('Opći dio'!$C$3,'Opći dio'!$L$6:$U$136,10,FALSE))</f>
        <v/>
      </c>
      <c r="B331" s="139" t="str">
        <f>IF(E331="","",VLOOKUP('Opći dio'!$C$3,'Opći dio'!$L$6:$U$136,9,FALSE))</f>
        <v/>
      </c>
      <c r="C331" s="187" t="str">
        <f t="shared" si="28"/>
        <v/>
      </c>
      <c r="D331" s="138" t="str">
        <f t="shared" si="29"/>
        <v/>
      </c>
      <c r="E331" s="150"/>
      <c r="F331" s="191" t="str">
        <f t="shared" si="30"/>
        <v/>
      </c>
      <c r="G331" s="185"/>
      <c r="H331" s="185"/>
      <c r="I331" s="185"/>
      <c r="K331" s="141" t="str">
        <f t="shared" si="31"/>
        <v/>
      </c>
      <c r="L331" s="141" t="str">
        <f t="shared" si="32"/>
        <v/>
      </c>
    </row>
    <row r="332" spans="1:12">
      <c r="A332" s="139" t="str">
        <f>IF(E332="","",VLOOKUP('Opći dio'!$C$3,'Opći dio'!$L$6:$U$136,10,FALSE))</f>
        <v/>
      </c>
      <c r="B332" s="139" t="str">
        <f>IF(E332="","",VLOOKUP('Opći dio'!$C$3,'Opći dio'!$L$6:$U$136,9,FALSE))</f>
        <v/>
      </c>
      <c r="C332" s="187" t="str">
        <f t="shared" si="28"/>
        <v/>
      </c>
      <c r="D332" s="138" t="str">
        <f t="shared" si="29"/>
        <v/>
      </c>
      <c r="E332" s="150"/>
      <c r="F332" s="191" t="str">
        <f t="shared" si="30"/>
        <v/>
      </c>
      <c r="G332" s="185"/>
      <c r="H332" s="185"/>
      <c r="I332" s="185"/>
      <c r="K332" s="141" t="str">
        <f t="shared" si="31"/>
        <v/>
      </c>
      <c r="L332" s="141" t="str">
        <f t="shared" si="32"/>
        <v/>
      </c>
    </row>
    <row r="333" spans="1:12">
      <c r="A333" s="139" t="str">
        <f>IF(E333="","",VLOOKUP('Opći dio'!$C$3,'Opći dio'!$L$6:$U$136,10,FALSE))</f>
        <v/>
      </c>
      <c r="B333" s="139" t="str">
        <f>IF(E333="","",VLOOKUP('Opći dio'!$C$3,'Opći dio'!$L$6:$U$136,9,FALSE))</f>
        <v/>
      </c>
      <c r="C333" s="187" t="str">
        <f t="shared" si="28"/>
        <v/>
      </c>
      <c r="D333" s="138" t="str">
        <f t="shared" si="29"/>
        <v/>
      </c>
      <c r="E333" s="150"/>
      <c r="F333" s="191" t="str">
        <f t="shared" si="30"/>
        <v/>
      </c>
      <c r="G333" s="185"/>
      <c r="H333" s="185"/>
      <c r="I333" s="185"/>
      <c r="K333" s="141" t="str">
        <f t="shared" si="31"/>
        <v/>
      </c>
      <c r="L333" s="141" t="str">
        <f t="shared" si="32"/>
        <v/>
      </c>
    </row>
    <row r="334" spans="1:12">
      <c r="A334" s="139" t="str">
        <f>IF(E334="","",VLOOKUP('Opći dio'!$C$3,'Opći dio'!$L$6:$U$136,10,FALSE))</f>
        <v/>
      </c>
      <c r="B334" s="139" t="str">
        <f>IF(E334="","",VLOOKUP('Opći dio'!$C$3,'Opći dio'!$L$6:$U$136,9,FALSE))</f>
        <v/>
      </c>
      <c r="C334" s="187" t="str">
        <f t="shared" si="28"/>
        <v/>
      </c>
      <c r="D334" s="138" t="str">
        <f t="shared" si="29"/>
        <v/>
      </c>
      <c r="E334" s="150"/>
      <c r="F334" s="191" t="str">
        <f t="shared" si="30"/>
        <v/>
      </c>
      <c r="G334" s="185"/>
      <c r="H334" s="185"/>
      <c r="I334" s="185"/>
      <c r="K334" s="141" t="str">
        <f t="shared" si="31"/>
        <v/>
      </c>
      <c r="L334" s="141" t="str">
        <f t="shared" si="32"/>
        <v/>
      </c>
    </row>
    <row r="335" spans="1:12">
      <c r="A335" s="139" t="str">
        <f>IF(E335="","",VLOOKUP('Opći dio'!$C$3,'Opći dio'!$L$6:$U$136,10,FALSE))</f>
        <v/>
      </c>
      <c r="B335" s="139" t="str">
        <f>IF(E335="","",VLOOKUP('Opći dio'!$C$3,'Opći dio'!$L$6:$U$136,9,FALSE))</f>
        <v/>
      </c>
      <c r="C335" s="187" t="str">
        <f t="shared" si="28"/>
        <v/>
      </c>
      <c r="D335" s="138" t="str">
        <f t="shared" si="29"/>
        <v/>
      </c>
      <c r="E335" s="150"/>
      <c r="F335" s="191" t="str">
        <f t="shared" si="30"/>
        <v/>
      </c>
      <c r="G335" s="185"/>
      <c r="H335" s="185"/>
      <c r="I335" s="185"/>
      <c r="K335" s="141" t="str">
        <f t="shared" si="31"/>
        <v/>
      </c>
      <c r="L335" s="141" t="str">
        <f t="shared" si="32"/>
        <v/>
      </c>
    </row>
    <row r="336" spans="1:12">
      <c r="A336" s="139" t="str">
        <f>IF(E336="","",VLOOKUP('Opći dio'!$C$3,'Opći dio'!$L$6:$U$136,10,FALSE))</f>
        <v/>
      </c>
      <c r="B336" s="139" t="str">
        <f>IF(E336="","",VLOOKUP('Opći dio'!$C$3,'Opći dio'!$L$6:$U$136,9,FALSE))</f>
        <v/>
      </c>
      <c r="C336" s="187" t="str">
        <f t="shared" si="28"/>
        <v/>
      </c>
      <c r="D336" s="138" t="str">
        <f t="shared" si="29"/>
        <v/>
      </c>
      <c r="E336" s="150"/>
      <c r="F336" s="191" t="str">
        <f t="shared" si="30"/>
        <v/>
      </c>
      <c r="G336" s="185"/>
      <c r="H336" s="185"/>
      <c r="I336" s="185"/>
      <c r="K336" s="141" t="str">
        <f t="shared" si="31"/>
        <v/>
      </c>
      <c r="L336" s="141" t="str">
        <f t="shared" si="32"/>
        <v/>
      </c>
    </row>
    <row r="337" spans="1:12">
      <c r="A337" s="139" t="str">
        <f>IF(E337="","",VLOOKUP('Opći dio'!$C$3,'Opći dio'!$L$6:$U$136,10,FALSE))</f>
        <v/>
      </c>
      <c r="B337" s="139" t="str">
        <f>IF(E337="","",VLOOKUP('Opći dio'!$C$3,'Opći dio'!$L$6:$U$136,9,FALSE))</f>
        <v/>
      </c>
      <c r="C337" s="187" t="str">
        <f t="shared" si="28"/>
        <v/>
      </c>
      <c r="D337" s="138" t="str">
        <f t="shared" si="29"/>
        <v/>
      </c>
      <c r="E337" s="150"/>
      <c r="F337" s="191" t="str">
        <f t="shared" si="30"/>
        <v/>
      </c>
      <c r="G337" s="185"/>
      <c r="H337" s="185"/>
      <c r="I337" s="185"/>
      <c r="K337" s="141" t="str">
        <f t="shared" si="31"/>
        <v/>
      </c>
      <c r="L337" s="141" t="str">
        <f t="shared" si="32"/>
        <v/>
      </c>
    </row>
    <row r="338" spans="1:12">
      <c r="A338" s="139" t="str">
        <f>IF(E338="","",VLOOKUP('Opći dio'!$C$3,'Opći dio'!$L$6:$U$136,10,FALSE))</f>
        <v/>
      </c>
      <c r="B338" s="139" t="str">
        <f>IF(E338="","",VLOOKUP('Opći dio'!$C$3,'Opći dio'!$L$6:$U$136,9,FALSE))</f>
        <v/>
      </c>
      <c r="C338" s="187" t="str">
        <f t="shared" si="28"/>
        <v/>
      </c>
      <c r="D338" s="138" t="str">
        <f t="shared" si="29"/>
        <v/>
      </c>
      <c r="E338" s="150"/>
      <c r="F338" s="191" t="str">
        <f t="shared" si="30"/>
        <v/>
      </c>
      <c r="G338" s="185"/>
      <c r="H338" s="185"/>
      <c r="I338" s="185"/>
      <c r="K338" s="141" t="str">
        <f t="shared" si="31"/>
        <v/>
      </c>
      <c r="L338" s="141" t="str">
        <f t="shared" si="32"/>
        <v/>
      </c>
    </row>
    <row r="339" spans="1:12">
      <c r="A339" s="139" t="str">
        <f>IF(E339="","",VLOOKUP('Opći dio'!$C$3,'Opći dio'!$L$6:$U$136,10,FALSE))</f>
        <v/>
      </c>
      <c r="B339" s="139" t="str">
        <f>IF(E339="","",VLOOKUP('Opći dio'!$C$3,'Opći dio'!$L$6:$U$136,9,FALSE))</f>
        <v/>
      </c>
      <c r="C339" s="187" t="str">
        <f t="shared" si="28"/>
        <v/>
      </c>
      <c r="D339" s="138" t="str">
        <f t="shared" si="29"/>
        <v/>
      </c>
      <c r="E339" s="150"/>
      <c r="F339" s="191" t="str">
        <f t="shared" si="30"/>
        <v/>
      </c>
      <c r="G339" s="185"/>
      <c r="H339" s="185"/>
      <c r="I339" s="185"/>
      <c r="K339" s="141" t="str">
        <f t="shared" si="31"/>
        <v/>
      </c>
      <c r="L339" s="141" t="str">
        <f t="shared" si="32"/>
        <v/>
      </c>
    </row>
    <row r="340" spans="1:12">
      <c r="A340" s="139" t="str">
        <f>IF(E340="","",VLOOKUP('Opći dio'!$C$3,'Opći dio'!$L$6:$U$136,10,FALSE))</f>
        <v/>
      </c>
      <c r="B340" s="139" t="str">
        <f>IF(E340="","",VLOOKUP('Opći dio'!$C$3,'Opći dio'!$L$6:$U$136,9,FALSE))</f>
        <v/>
      </c>
      <c r="C340" s="187" t="str">
        <f t="shared" si="28"/>
        <v/>
      </c>
      <c r="D340" s="138" t="str">
        <f t="shared" si="29"/>
        <v/>
      </c>
      <c r="E340" s="150"/>
      <c r="F340" s="191" t="str">
        <f t="shared" si="30"/>
        <v/>
      </c>
      <c r="G340" s="185"/>
      <c r="H340" s="185"/>
      <c r="I340" s="185"/>
      <c r="K340" s="141" t="str">
        <f t="shared" si="31"/>
        <v/>
      </c>
      <c r="L340" s="141" t="str">
        <f t="shared" si="32"/>
        <v/>
      </c>
    </row>
    <row r="341" spans="1:12">
      <c r="A341" s="139" t="str">
        <f>IF(E341="","",VLOOKUP('Opći dio'!$C$3,'Opći dio'!$L$6:$U$136,10,FALSE))</f>
        <v/>
      </c>
      <c r="B341" s="139" t="str">
        <f>IF(E341="","",VLOOKUP('Opći dio'!$C$3,'Opći dio'!$L$6:$U$136,9,FALSE))</f>
        <v/>
      </c>
      <c r="C341" s="187" t="str">
        <f t="shared" si="28"/>
        <v/>
      </c>
      <c r="D341" s="138" t="str">
        <f t="shared" si="29"/>
        <v/>
      </c>
      <c r="E341" s="150"/>
      <c r="F341" s="191" t="str">
        <f t="shared" si="30"/>
        <v/>
      </c>
      <c r="G341" s="185"/>
      <c r="H341" s="185"/>
      <c r="I341" s="185"/>
      <c r="K341" s="141" t="str">
        <f t="shared" si="31"/>
        <v/>
      </c>
      <c r="L341" s="141" t="str">
        <f t="shared" si="32"/>
        <v/>
      </c>
    </row>
    <row r="342" spans="1:12">
      <c r="A342" s="139" t="str">
        <f>IF(E342="","",VLOOKUP('Opći dio'!$C$3,'Opći dio'!$L$6:$U$136,10,FALSE))</f>
        <v/>
      </c>
      <c r="B342" s="139" t="str">
        <f>IF(E342="","",VLOOKUP('Opći dio'!$C$3,'Opći dio'!$L$6:$U$136,9,FALSE))</f>
        <v/>
      </c>
      <c r="C342" s="187" t="str">
        <f t="shared" si="28"/>
        <v/>
      </c>
      <c r="D342" s="138" t="str">
        <f t="shared" si="29"/>
        <v/>
      </c>
      <c r="E342" s="150"/>
      <c r="F342" s="191" t="str">
        <f t="shared" si="30"/>
        <v/>
      </c>
      <c r="G342" s="185"/>
      <c r="H342" s="185"/>
      <c r="I342" s="185"/>
      <c r="K342" s="141" t="str">
        <f t="shared" si="31"/>
        <v/>
      </c>
      <c r="L342" s="141" t="str">
        <f t="shared" si="32"/>
        <v/>
      </c>
    </row>
    <row r="343" spans="1:12">
      <c r="A343" s="139" t="str">
        <f>IF(E343="","",VLOOKUP('Opći dio'!$C$3,'Opći dio'!$L$6:$U$136,10,FALSE))</f>
        <v/>
      </c>
      <c r="B343" s="139" t="str">
        <f>IF(E343="","",VLOOKUP('Opći dio'!$C$3,'Opći dio'!$L$6:$U$136,9,FALSE))</f>
        <v/>
      </c>
      <c r="C343" s="187" t="str">
        <f t="shared" si="28"/>
        <v/>
      </c>
      <c r="D343" s="138" t="str">
        <f t="shared" si="29"/>
        <v/>
      </c>
      <c r="E343" s="150"/>
      <c r="F343" s="191" t="str">
        <f t="shared" si="30"/>
        <v/>
      </c>
      <c r="G343" s="185"/>
      <c r="H343" s="185"/>
      <c r="I343" s="185"/>
      <c r="K343" s="141" t="str">
        <f t="shared" si="31"/>
        <v/>
      </c>
      <c r="L343" s="141" t="str">
        <f t="shared" si="32"/>
        <v/>
      </c>
    </row>
    <row r="344" spans="1:12">
      <c r="A344" s="139" t="str">
        <f>IF(E344="","",VLOOKUP('Opći dio'!$C$3,'Opći dio'!$L$6:$U$136,10,FALSE))</f>
        <v/>
      </c>
      <c r="B344" s="139" t="str">
        <f>IF(E344="","",VLOOKUP('Opći dio'!$C$3,'Opći dio'!$L$6:$U$136,9,FALSE))</f>
        <v/>
      </c>
      <c r="C344" s="187" t="str">
        <f t="shared" si="28"/>
        <v/>
      </c>
      <c r="D344" s="138" t="str">
        <f t="shared" si="29"/>
        <v/>
      </c>
      <c r="E344" s="150"/>
      <c r="F344" s="191" t="str">
        <f t="shared" si="30"/>
        <v/>
      </c>
      <c r="G344" s="185"/>
      <c r="H344" s="185"/>
      <c r="I344" s="185"/>
      <c r="K344" s="141" t="str">
        <f t="shared" si="31"/>
        <v/>
      </c>
      <c r="L344" s="141" t="str">
        <f t="shared" si="32"/>
        <v/>
      </c>
    </row>
    <row r="345" spans="1:12">
      <c r="A345" s="139" t="str">
        <f>IF(E345="","",VLOOKUP('Opći dio'!$C$3,'Opći dio'!$L$6:$U$136,10,FALSE))</f>
        <v/>
      </c>
      <c r="B345" s="139" t="str">
        <f>IF(E345="","",VLOOKUP('Opći dio'!$C$3,'Opći dio'!$L$6:$U$136,9,FALSE))</f>
        <v/>
      </c>
      <c r="C345" s="187" t="str">
        <f t="shared" si="28"/>
        <v/>
      </c>
      <c r="D345" s="138" t="str">
        <f t="shared" si="29"/>
        <v/>
      </c>
      <c r="E345" s="150"/>
      <c r="F345" s="191" t="str">
        <f t="shared" si="30"/>
        <v/>
      </c>
      <c r="G345" s="185"/>
      <c r="H345" s="185"/>
      <c r="I345" s="185"/>
      <c r="K345" s="141" t="str">
        <f t="shared" si="31"/>
        <v/>
      </c>
      <c r="L345" s="141" t="str">
        <f t="shared" si="32"/>
        <v/>
      </c>
    </row>
    <row r="346" spans="1:12">
      <c r="A346" s="139" t="str">
        <f>IF(E346="","",VLOOKUP('Opći dio'!$C$3,'Opći dio'!$L$6:$U$136,10,FALSE))</f>
        <v/>
      </c>
      <c r="B346" s="139" t="str">
        <f>IF(E346="","",VLOOKUP('Opći dio'!$C$3,'Opći dio'!$L$6:$U$136,9,FALSE))</f>
        <v/>
      </c>
      <c r="C346" s="187" t="str">
        <f t="shared" si="28"/>
        <v/>
      </c>
      <c r="D346" s="138" t="str">
        <f t="shared" si="29"/>
        <v/>
      </c>
      <c r="E346" s="150"/>
      <c r="F346" s="191" t="str">
        <f t="shared" si="30"/>
        <v/>
      </c>
      <c r="G346" s="185"/>
      <c r="H346" s="185"/>
      <c r="I346" s="185"/>
      <c r="K346" s="141" t="str">
        <f t="shared" si="31"/>
        <v/>
      </c>
      <c r="L346" s="141" t="str">
        <f t="shared" si="32"/>
        <v/>
      </c>
    </row>
    <row r="347" spans="1:12">
      <c r="A347" s="139" t="str">
        <f>IF(E347="","",VLOOKUP('Opći dio'!$C$3,'Opći dio'!$L$6:$U$136,10,FALSE))</f>
        <v/>
      </c>
      <c r="B347" s="139" t="str">
        <f>IF(E347="","",VLOOKUP('Opći dio'!$C$3,'Opći dio'!$L$6:$U$136,9,FALSE))</f>
        <v/>
      </c>
      <c r="C347" s="187" t="str">
        <f t="shared" si="28"/>
        <v/>
      </c>
      <c r="D347" s="138" t="str">
        <f t="shared" si="29"/>
        <v/>
      </c>
      <c r="E347" s="150"/>
      <c r="F347" s="191" t="str">
        <f t="shared" si="30"/>
        <v/>
      </c>
      <c r="G347" s="185"/>
      <c r="H347" s="185"/>
      <c r="I347" s="185"/>
      <c r="K347" s="141" t="str">
        <f t="shared" si="31"/>
        <v/>
      </c>
      <c r="L347" s="141" t="str">
        <f t="shared" si="32"/>
        <v/>
      </c>
    </row>
    <row r="348" spans="1:12">
      <c r="A348" s="139" t="str">
        <f>IF(E348="","",VLOOKUP('Opći dio'!$C$3,'Opći dio'!$L$6:$U$136,10,FALSE))</f>
        <v/>
      </c>
      <c r="B348" s="139" t="str">
        <f>IF(E348="","",VLOOKUP('Opći dio'!$C$3,'Opći dio'!$L$6:$U$136,9,FALSE))</f>
        <v/>
      </c>
      <c r="C348" s="187" t="str">
        <f t="shared" si="28"/>
        <v/>
      </c>
      <c r="D348" s="138" t="str">
        <f t="shared" si="29"/>
        <v/>
      </c>
      <c r="E348" s="150"/>
      <c r="F348" s="191" t="str">
        <f t="shared" si="30"/>
        <v/>
      </c>
      <c r="G348" s="185"/>
      <c r="H348" s="185"/>
      <c r="I348" s="185"/>
      <c r="K348" s="141" t="str">
        <f t="shared" si="31"/>
        <v/>
      </c>
      <c r="L348" s="141" t="str">
        <f t="shared" si="32"/>
        <v/>
      </c>
    </row>
    <row r="349" spans="1:12">
      <c r="A349" s="139" t="str">
        <f>IF(E349="","",VLOOKUP('Opći dio'!$C$3,'Opći dio'!$L$6:$U$136,10,FALSE))</f>
        <v/>
      </c>
      <c r="B349" s="139" t="str">
        <f>IF(E349="","",VLOOKUP('Opći dio'!$C$3,'Opći dio'!$L$6:$U$136,9,FALSE))</f>
        <v/>
      </c>
      <c r="C349" s="187" t="str">
        <f t="shared" si="28"/>
        <v/>
      </c>
      <c r="D349" s="138" t="str">
        <f t="shared" si="29"/>
        <v/>
      </c>
      <c r="E349" s="150"/>
      <c r="F349" s="191" t="str">
        <f t="shared" si="30"/>
        <v/>
      </c>
      <c r="G349" s="185"/>
      <c r="H349" s="185"/>
      <c r="I349" s="185"/>
      <c r="K349" s="141" t="str">
        <f t="shared" si="31"/>
        <v/>
      </c>
      <c r="L349" s="141" t="str">
        <f t="shared" si="32"/>
        <v/>
      </c>
    </row>
    <row r="350" spans="1:12">
      <c r="A350" s="139" t="str">
        <f>IF(E350="","",VLOOKUP('Opći dio'!$C$3,'Opći dio'!$L$6:$U$136,10,FALSE))</f>
        <v/>
      </c>
      <c r="B350" s="139" t="str">
        <f>IF(E350="","",VLOOKUP('Opći dio'!$C$3,'Opći dio'!$L$6:$U$136,9,FALSE))</f>
        <v/>
      </c>
      <c r="C350" s="187" t="str">
        <f t="shared" si="28"/>
        <v/>
      </c>
      <c r="D350" s="138" t="str">
        <f t="shared" si="29"/>
        <v/>
      </c>
      <c r="E350" s="150"/>
      <c r="F350" s="191" t="str">
        <f t="shared" si="30"/>
        <v/>
      </c>
      <c r="G350" s="185"/>
      <c r="H350" s="185"/>
      <c r="I350" s="185"/>
      <c r="K350" s="141" t="str">
        <f t="shared" si="31"/>
        <v/>
      </c>
      <c r="L350" s="141" t="str">
        <f t="shared" si="32"/>
        <v/>
      </c>
    </row>
    <row r="351" spans="1:12">
      <c r="A351" s="139" t="str">
        <f>IF(E351="","",VLOOKUP('Opći dio'!$C$3,'Opći dio'!$L$6:$U$136,10,FALSE))</f>
        <v/>
      </c>
      <c r="B351" s="139" t="str">
        <f>IF(E351="","",VLOOKUP('Opći dio'!$C$3,'Opći dio'!$L$6:$U$136,9,FALSE))</f>
        <v/>
      </c>
      <c r="C351" s="187" t="str">
        <f t="shared" si="28"/>
        <v/>
      </c>
      <c r="D351" s="138" t="str">
        <f t="shared" si="29"/>
        <v/>
      </c>
      <c r="E351" s="150"/>
      <c r="F351" s="191" t="str">
        <f t="shared" si="30"/>
        <v/>
      </c>
      <c r="G351" s="185"/>
      <c r="H351" s="185"/>
      <c r="I351" s="185"/>
      <c r="K351" s="141" t="str">
        <f t="shared" si="31"/>
        <v/>
      </c>
      <c r="L351" s="141" t="str">
        <f t="shared" si="32"/>
        <v/>
      </c>
    </row>
    <row r="352" spans="1:12">
      <c r="A352" s="139" t="str">
        <f>IF(E352="","",VLOOKUP('Opći dio'!$C$3,'Opći dio'!$L$6:$U$136,10,FALSE))</f>
        <v/>
      </c>
      <c r="B352" s="139" t="str">
        <f>IF(E352="","",VLOOKUP('Opći dio'!$C$3,'Opći dio'!$L$6:$U$136,9,FALSE))</f>
        <v/>
      </c>
      <c r="C352" s="187" t="str">
        <f t="shared" si="28"/>
        <v/>
      </c>
      <c r="D352" s="138" t="str">
        <f t="shared" si="29"/>
        <v/>
      </c>
      <c r="E352" s="150"/>
      <c r="F352" s="191" t="str">
        <f t="shared" si="30"/>
        <v/>
      </c>
      <c r="G352" s="185"/>
      <c r="H352" s="185"/>
      <c r="I352" s="185"/>
      <c r="K352" s="141" t="str">
        <f t="shared" si="31"/>
        <v/>
      </c>
      <c r="L352" s="141" t="str">
        <f t="shared" si="32"/>
        <v/>
      </c>
    </row>
    <row r="353" spans="1:12">
      <c r="A353" s="139" t="str">
        <f>IF(E353="","",VLOOKUP('Opći dio'!$C$3,'Opći dio'!$L$6:$U$136,10,FALSE))</f>
        <v/>
      </c>
      <c r="B353" s="139" t="str">
        <f>IF(E353="","",VLOOKUP('Opći dio'!$C$3,'Opći dio'!$L$6:$U$136,9,FALSE))</f>
        <v/>
      </c>
      <c r="C353" s="187" t="str">
        <f t="shared" si="28"/>
        <v/>
      </c>
      <c r="D353" s="138" t="str">
        <f t="shared" si="29"/>
        <v/>
      </c>
      <c r="E353" s="150"/>
      <c r="F353" s="191" t="str">
        <f t="shared" si="30"/>
        <v/>
      </c>
      <c r="G353" s="185"/>
      <c r="H353" s="185"/>
      <c r="I353" s="185"/>
      <c r="K353" s="141" t="str">
        <f t="shared" si="31"/>
        <v/>
      </c>
      <c r="L353" s="141" t="str">
        <f t="shared" si="32"/>
        <v/>
      </c>
    </row>
    <row r="354" spans="1:12">
      <c r="A354" s="139" t="str">
        <f>IF(E354="","",VLOOKUP('Opći dio'!$C$3,'Opći dio'!$L$6:$U$136,10,FALSE))</f>
        <v/>
      </c>
      <c r="B354" s="139" t="str">
        <f>IF(E354="","",VLOOKUP('Opći dio'!$C$3,'Opći dio'!$L$6:$U$136,9,FALSE))</f>
        <v/>
      </c>
      <c r="C354" s="187" t="str">
        <f t="shared" si="28"/>
        <v/>
      </c>
      <c r="D354" s="138" t="str">
        <f t="shared" si="29"/>
        <v/>
      </c>
      <c r="E354" s="150"/>
      <c r="F354" s="191" t="str">
        <f t="shared" si="30"/>
        <v/>
      </c>
      <c r="G354" s="185"/>
      <c r="H354" s="185"/>
      <c r="I354" s="185"/>
      <c r="K354" s="141" t="str">
        <f t="shared" si="31"/>
        <v/>
      </c>
      <c r="L354" s="141" t="str">
        <f t="shared" si="32"/>
        <v/>
      </c>
    </row>
    <row r="355" spans="1:12">
      <c r="A355" s="139" t="str">
        <f>IF(E355="","",VLOOKUP('Opći dio'!$C$3,'Opći dio'!$L$6:$U$136,10,FALSE))</f>
        <v/>
      </c>
      <c r="B355" s="139" t="str">
        <f>IF(E355="","",VLOOKUP('Opći dio'!$C$3,'Opći dio'!$L$6:$U$136,9,FALSE))</f>
        <v/>
      </c>
      <c r="C355" s="187" t="str">
        <f t="shared" si="28"/>
        <v/>
      </c>
      <c r="D355" s="138" t="str">
        <f t="shared" si="29"/>
        <v/>
      </c>
      <c r="E355" s="150"/>
      <c r="F355" s="191" t="str">
        <f t="shared" si="30"/>
        <v/>
      </c>
      <c r="G355" s="185"/>
      <c r="H355" s="185"/>
      <c r="I355" s="185"/>
      <c r="K355" s="141" t="str">
        <f t="shared" si="31"/>
        <v/>
      </c>
      <c r="L355" s="141" t="str">
        <f t="shared" si="32"/>
        <v/>
      </c>
    </row>
    <row r="356" spans="1:12">
      <c r="A356" s="139" t="str">
        <f>IF(E356="","",VLOOKUP('Opći dio'!$C$3,'Opći dio'!$L$6:$U$136,10,FALSE))</f>
        <v/>
      </c>
      <c r="B356" s="139" t="str">
        <f>IF(E356="","",VLOOKUP('Opći dio'!$C$3,'Opći dio'!$L$6:$U$136,9,FALSE))</f>
        <v/>
      </c>
      <c r="C356" s="187" t="str">
        <f t="shared" si="28"/>
        <v/>
      </c>
      <c r="D356" s="138" t="str">
        <f t="shared" si="29"/>
        <v/>
      </c>
      <c r="E356" s="150"/>
      <c r="F356" s="191" t="str">
        <f t="shared" si="30"/>
        <v/>
      </c>
      <c r="G356" s="185"/>
      <c r="H356" s="185"/>
      <c r="I356" s="185"/>
      <c r="K356" s="141" t="str">
        <f t="shared" si="31"/>
        <v/>
      </c>
      <c r="L356" s="141" t="str">
        <f t="shared" si="32"/>
        <v/>
      </c>
    </row>
    <row r="357" spans="1:12">
      <c r="A357" s="139" t="str">
        <f>IF(E357="","",VLOOKUP('Opći dio'!$C$3,'Opći dio'!$L$6:$U$136,10,FALSE))</f>
        <v/>
      </c>
      <c r="B357" s="139" t="str">
        <f>IF(E357="","",VLOOKUP('Opći dio'!$C$3,'Opći dio'!$L$6:$U$136,9,FALSE))</f>
        <v/>
      </c>
      <c r="C357" s="187" t="str">
        <f t="shared" si="28"/>
        <v/>
      </c>
      <c r="D357" s="138" t="str">
        <f t="shared" si="29"/>
        <v/>
      </c>
      <c r="E357" s="150"/>
      <c r="F357" s="191" t="str">
        <f t="shared" si="30"/>
        <v/>
      </c>
      <c r="G357" s="185"/>
      <c r="H357" s="185"/>
      <c r="I357" s="185"/>
      <c r="K357" s="141" t="str">
        <f t="shared" si="31"/>
        <v/>
      </c>
      <c r="L357" s="141" t="str">
        <f t="shared" si="32"/>
        <v/>
      </c>
    </row>
    <row r="358" spans="1:12">
      <c r="A358" s="139" t="str">
        <f>IF(E358="","",VLOOKUP('Opći dio'!$C$3,'Opći dio'!$L$6:$U$136,10,FALSE))</f>
        <v/>
      </c>
      <c r="B358" s="139" t="str">
        <f>IF(E358="","",VLOOKUP('Opći dio'!$C$3,'Opći dio'!$L$6:$U$136,9,FALSE))</f>
        <v/>
      </c>
      <c r="C358" s="187" t="str">
        <f t="shared" si="28"/>
        <v/>
      </c>
      <c r="D358" s="138" t="str">
        <f t="shared" si="29"/>
        <v/>
      </c>
      <c r="E358" s="150"/>
      <c r="F358" s="191" t="str">
        <f t="shared" si="30"/>
        <v/>
      </c>
      <c r="G358" s="185"/>
      <c r="H358" s="185"/>
      <c r="I358" s="185"/>
      <c r="K358" s="141" t="str">
        <f t="shared" si="31"/>
        <v/>
      </c>
      <c r="L358" s="141" t="str">
        <f t="shared" si="32"/>
        <v/>
      </c>
    </row>
    <row r="359" spans="1:12">
      <c r="A359" s="139" t="str">
        <f>IF(E359="","",VLOOKUP('Opći dio'!$C$3,'Opći dio'!$L$6:$U$136,10,FALSE))</f>
        <v/>
      </c>
      <c r="B359" s="139" t="str">
        <f>IF(E359="","",VLOOKUP('Opći dio'!$C$3,'Opći dio'!$L$6:$U$136,9,FALSE))</f>
        <v/>
      </c>
      <c r="C359" s="187" t="str">
        <f t="shared" si="28"/>
        <v/>
      </c>
      <c r="D359" s="138" t="str">
        <f t="shared" si="29"/>
        <v/>
      </c>
      <c r="E359" s="150"/>
      <c r="F359" s="191" t="str">
        <f t="shared" si="30"/>
        <v/>
      </c>
      <c r="G359" s="185"/>
      <c r="H359" s="185"/>
      <c r="I359" s="185"/>
      <c r="K359" s="141" t="str">
        <f t="shared" si="31"/>
        <v/>
      </c>
      <c r="L359" s="141" t="str">
        <f t="shared" si="32"/>
        <v/>
      </c>
    </row>
    <row r="360" spans="1:12">
      <c r="A360" s="139" t="str">
        <f>IF(E360="","",VLOOKUP('Opći dio'!$C$3,'Opći dio'!$L$6:$U$136,10,FALSE))</f>
        <v/>
      </c>
      <c r="B360" s="139" t="str">
        <f>IF(E360="","",VLOOKUP('Opći dio'!$C$3,'Opći dio'!$L$6:$U$136,9,FALSE))</f>
        <v/>
      </c>
      <c r="C360" s="187" t="str">
        <f t="shared" si="28"/>
        <v/>
      </c>
      <c r="D360" s="138" t="str">
        <f t="shared" si="29"/>
        <v/>
      </c>
      <c r="E360" s="150"/>
      <c r="F360" s="191" t="str">
        <f t="shared" si="30"/>
        <v/>
      </c>
      <c r="G360" s="185"/>
      <c r="H360" s="185"/>
      <c r="I360" s="185"/>
      <c r="K360" s="141" t="str">
        <f t="shared" si="31"/>
        <v/>
      </c>
      <c r="L360" s="141" t="str">
        <f t="shared" si="32"/>
        <v/>
      </c>
    </row>
    <row r="361" spans="1:12">
      <c r="A361" s="139" t="str">
        <f>IF(E361="","",VLOOKUP('Opći dio'!$C$3,'Opći dio'!$L$6:$U$136,10,FALSE))</f>
        <v/>
      </c>
      <c r="B361" s="139" t="str">
        <f>IF(E361="","",VLOOKUP('Opći dio'!$C$3,'Opći dio'!$L$6:$U$136,9,FALSE))</f>
        <v/>
      </c>
      <c r="C361" s="187" t="str">
        <f t="shared" si="28"/>
        <v/>
      </c>
      <c r="D361" s="138" t="str">
        <f t="shared" si="29"/>
        <v/>
      </c>
      <c r="E361" s="150"/>
      <c r="F361" s="191" t="str">
        <f t="shared" si="30"/>
        <v/>
      </c>
      <c r="G361" s="185"/>
      <c r="H361" s="185"/>
      <c r="I361" s="185"/>
      <c r="K361" s="141" t="str">
        <f t="shared" si="31"/>
        <v/>
      </c>
      <c r="L361" s="141" t="str">
        <f t="shared" si="32"/>
        <v/>
      </c>
    </row>
    <row r="362" spans="1:12">
      <c r="A362" s="139" t="str">
        <f>IF(E362="","",VLOOKUP('Opći dio'!$C$3,'Opći dio'!$L$6:$U$136,10,FALSE))</f>
        <v/>
      </c>
      <c r="B362" s="139" t="str">
        <f>IF(E362="","",VLOOKUP('Opći dio'!$C$3,'Opći dio'!$L$6:$U$136,9,FALSE))</f>
        <v/>
      </c>
      <c r="C362" s="187" t="str">
        <f t="shared" si="28"/>
        <v/>
      </c>
      <c r="D362" s="138" t="str">
        <f t="shared" si="29"/>
        <v/>
      </c>
      <c r="E362" s="150"/>
      <c r="F362" s="191" t="str">
        <f t="shared" si="30"/>
        <v/>
      </c>
      <c r="G362" s="185"/>
      <c r="H362" s="185"/>
      <c r="I362" s="185"/>
      <c r="K362" s="141" t="str">
        <f t="shared" si="31"/>
        <v/>
      </c>
      <c r="L362" s="141" t="str">
        <f t="shared" si="32"/>
        <v/>
      </c>
    </row>
    <row r="363" spans="1:12">
      <c r="A363" s="139" t="str">
        <f>IF(E363="","",VLOOKUP('Opći dio'!$C$3,'Opći dio'!$L$6:$U$136,10,FALSE))</f>
        <v/>
      </c>
      <c r="B363" s="139" t="str">
        <f>IF(E363="","",VLOOKUP('Opći dio'!$C$3,'Opći dio'!$L$6:$U$136,9,FALSE))</f>
        <v/>
      </c>
      <c r="C363" s="187" t="str">
        <f t="shared" si="28"/>
        <v/>
      </c>
      <c r="D363" s="138" t="str">
        <f t="shared" si="29"/>
        <v/>
      </c>
      <c r="E363" s="150"/>
      <c r="F363" s="191" t="str">
        <f t="shared" si="30"/>
        <v/>
      </c>
      <c r="G363" s="185"/>
      <c r="H363" s="185"/>
      <c r="I363" s="185"/>
      <c r="K363" s="141" t="str">
        <f t="shared" si="31"/>
        <v/>
      </c>
      <c r="L363" s="141" t="str">
        <f t="shared" si="32"/>
        <v/>
      </c>
    </row>
    <row r="364" spans="1:12">
      <c r="A364" s="139" t="str">
        <f>IF(E364="","",VLOOKUP('Opći dio'!$C$3,'Opći dio'!$L$6:$U$136,10,FALSE))</f>
        <v/>
      </c>
      <c r="B364" s="139" t="str">
        <f>IF(E364="","",VLOOKUP('Opći dio'!$C$3,'Opći dio'!$L$6:$U$136,9,FALSE))</f>
        <v/>
      </c>
      <c r="C364" s="187" t="str">
        <f t="shared" si="28"/>
        <v/>
      </c>
      <c r="D364" s="138" t="str">
        <f t="shared" si="29"/>
        <v/>
      </c>
      <c r="E364" s="150"/>
      <c r="F364" s="191" t="str">
        <f t="shared" si="30"/>
        <v/>
      </c>
      <c r="G364" s="185"/>
      <c r="H364" s="185"/>
      <c r="I364" s="185"/>
      <c r="K364" s="141" t="str">
        <f t="shared" si="31"/>
        <v/>
      </c>
      <c r="L364" s="141" t="str">
        <f t="shared" si="32"/>
        <v/>
      </c>
    </row>
    <row r="365" spans="1:12">
      <c r="A365" s="139" t="str">
        <f>IF(E365="","",VLOOKUP('Opći dio'!$C$3,'Opći dio'!$L$6:$U$136,10,FALSE))</f>
        <v/>
      </c>
      <c r="B365" s="139" t="str">
        <f>IF(E365="","",VLOOKUP('Opći dio'!$C$3,'Opći dio'!$L$6:$U$136,9,FALSE))</f>
        <v/>
      </c>
      <c r="C365" s="187" t="str">
        <f t="shared" si="28"/>
        <v/>
      </c>
      <c r="D365" s="138" t="str">
        <f t="shared" si="29"/>
        <v/>
      </c>
      <c r="E365" s="150"/>
      <c r="F365" s="191" t="str">
        <f t="shared" si="30"/>
        <v/>
      </c>
      <c r="G365" s="185"/>
      <c r="H365" s="185"/>
      <c r="I365" s="185"/>
      <c r="K365" s="141" t="str">
        <f t="shared" si="31"/>
        <v/>
      </c>
      <c r="L365" s="141" t="str">
        <f t="shared" si="32"/>
        <v/>
      </c>
    </row>
    <row r="366" spans="1:12">
      <c r="A366" s="139" t="str">
        <f>IF(E366="","",VLOOKUP('Opći dio'!$C$3,'Opći dio'!$L$6:$U$136,10,FALSE))</f>
        <v/>
      </c>
      <c r="B366" s="139" t="str">
        <f>IF(E366="","",VLOOKUP('Opći dio'!$C$3,'Opći dio'!$L$6:$U$136,9,FALSE))</f>
        <v/>
      </c>
      <c r="C366" s="187" t="str">
        <f t="shared" si="28"/>
        <v/>
      </c>
      <c r="D366" s="138" t="str">
        <f t="shared" si="29"/>
        <v/>
      </c>
      <c r="E366" s="150"/>
      <c r="F366" s="191" t="str">
        <f t="shared" si="30"/>
        <v/>
      </c>
      <c r="G366" s="185"/>
      <c r="H366" s="185"/>
      <c r="I366" s="185"/>
      <c r="K366" s="141" t="str">
        <f t="shared" si="31"/>
        <v/>
      </c>
      <c r="L366" s="141" t="str">
        <f t="shared" si="32"/>
        <v/>
      </c>
    </row>
    <row r="367" spans="1:12">
      <c r="A367" s="139" t="str">
        <f>IF(E367="","",VLOOKUP('Opći dio'!$C$3,'Opći dio'!$L$6:$U$136,10,FALSE))</f>
        <v/>
      </c>
      <c r="B367" s="139" t="str">
        <f>IF(E367="","",VLOOKUP('Opći dio'!$C$3,'Opći dio'!$L$6:$U$136,9,FALSE))</f>
        <v/>
      </c>
      <c r="C367" s="187" t="str">
        <f t="shared" si="28"/>
        <v/>
      </c>
      <c r="D367" s="138" t="str">
        <f t="shared" si="29"/>
        <v/>
      </c>
      <c r="E367" s="150"/>
      <c r="F367" s="191" t="str">
        <f t="shared" si="30"/>
        <v/>
      </c>
      <c r="G367" s="185"/>
      <c r="H367" s="185"/>
      <c r="I367" s="185"/>
      <c r="K367" s="141" t="str">
        <f t="shared" si="31"/>
        <v/>
      </c>
      <c r="L367" s="141" t="str">
        <f t="shared" si="32"/>
        <v/>
      </c>
    </row>
    <row r="368" spans="1:12">
      <c r="A368" s="139" t="str">
        <f>IF(E368="","",VLOOKUP('Opći dio'!$C$3,'Opći dio'!$L$6:$U$136,10,FALSE))</f>
        <v/>
      </c>
      <c r="B368" s="139" t="str">
        <f>IF(E368="","",VLOOKUP('Opći dio'!$C$3,'Opći dio'!$L$6:$U$136,9,FALSE))</f>
        <v/>
      </c>
      <c r="C368" s="187" t="str">
        <f t="shared" si="28"/>
        <v/>
      </c>
      <c r="D368" s="138" t="str">
        <f t="shared" si="29"/>
        <v/>
      </c>
      <c r="E368" s="150"/>
      <c r="F368" s="191" t="str">
        <f t="shared" si="30"/>
        <v/>
      </c>
      <c r="G368" s="185"/>
      <c r="H368" s="185"/>
      <c r="I368" s="185"/>
      <c r="K368" s="141" t="str">
        <f t="shared" si="31"/>
        <v/>
      </c>
      <c r="L368" s="141" t="str">
        <f t="shared" si="32"/>
        <v/>
      </c>
    </row>
    <row r="369" spans="1:12">
      <c r="A369" s="139" t="str">
        <f>IF(E369="","",VLOOKUP('Opći dio'!$C$3,'Opći dio'!$L$6:$U$136,10,FALSE))</f>
        <v/>
      </c>
      <c r="B369" s="139" t="str">
        <f>IF(E369="","",VLOOKUP('Opći dio'!$C$3,'Opći dio'!$L$6:$U$136,9,FALSE))</f>
        <v/>
      </c>
      <c r="C369" s="187" t="str">
        <f t="shared" si="28"/>
        <v/>
      </c>
      <c r="D369" s="138" t="str">
        <f t="shared" si="29"/>
        <v/>
      </c>
      <c r="E369" s="150"/>
      <c r="F369" s="191" t="str">
        <f t="shared" si="30"/>
        <v/>
      </c>
      <c r="G369" s="185"/>
      <c r="H369" s="185"/>
      <c r="I369" s="185"/>
      <c r="K369" s="141" t="str">
        <f t="shared" si="31"/>
        <v/>
      </c>
      <c r="L369" s="141" t="str">
        <f t="shared" si="32"/>
        <v/>
      </c>
    </row>
    <row r="370" spans="1:12">
      <c r="A370" s="139" t="str">
        <f>IF(E370="","",VLOOKUP('Opći dio'!$C$3,'Opći dio'!$L$6:$U$136,10,FALSE))</f>
        <v/>
      </c>
      <c r="B370" s="139" t="str">
        <f>IF(E370="","",VLOOKUP('Opći dio'!$C$3,'Opći dio'!$L$6:$U$136,9,FALSE))</f>
        <v/>
      </c>
      <c r="C370" s="187" t="str">
        <f t="shared" si="28"/>
        <v/>
      </c>
      <c r="D370" s="138" t="str">
        <f t="shared" si="29"/>
        <v/>
      </c>
      <c r="E370" s="150"/>
      <c r="F370" s="191" t="str">
        <f t="shared" si="30"/>
        <v/>
      </c>
      <c r="G370" s="185"/>
      <c r="H370" s="185"/>
      <c r="I370" s="185"/>
      <c r="K370" s="141" t="str">
        <f t="shared" si="31"/>
        <v/>
      </c>
      <c r="L370" s="141" t="str">
        <f t="shared" si="32"/>
        <v/>
      </c>
    </row>
    <row r="371" spans="1:12">
      <c r="A371" s="139" t="str">
        <f>IF(E371="","",VLOOKUP('Opći dio'!$C$3,'Opći dio'!$L$6:$U$136,10,FALSE))</f>
        <v/>
      </c>
      <c r="B371" s="139" t="str">
        <f>IF(E371="","",VLOOKUP('Opći dio'!$C$3,'Opći dio'!$L$6:$U$136,9,FALSE))</f>
        <v/>
      </c>
      <c r="C371" s="187" t="str">
        <f t="shared" si="28"/>
        <v/>
      </c>
      <c r="D371" s="138" t="str">
        <f t="shared" si="29"/>
        <v/>
      </c>
      <c r="E371" s="150"/>
      <c r="F371" s="191" t="str">
        <f t="shared" si="30"/>
        <v/>
      </c>
      <c r="G371" s="185"/>
      <c r="H371" s="185"/>
      <c r="I371" s="185"/>
      <c r="K371" s="141" t="str">
        <f t="shared" si="31"/>
        <v/>
      </c>
      <c r="L371" s="141" t="str">
        <f t="shared" si="32"/>
        <v/>
      </c>
    </row>
    <row r="372" spans="1:12">
      <c r="A372" s="139" t="str">
        <f>IF(E372="","",VLOOKUP('Opći dio'!$C$3,'Opći dio'!$L$6:$U$136,10,FALSE))</f>
        <v/>
      </c>
      <c r="B372" s="139" t="str">
        <f>IF(E372="","",VLOOKUP('Opći dio'!$C$3,'Opći dio'!$L$6:$U$136,9,FALSE))</f>
        <v/>
      </c>
      <c r="C372" s="187" t="str">
        <f t="shared" si="28"/>
        <v/>
      </c>
      <c r="D372" s="138" t="str">
        <f t="shared" si="29"/>
        <v/>
      </c>
      <c r="E372" s="150"/>
      <c r="F372" s="191" t="str">
        <f t="shared" si="30"/>
        <v/>
      </c>
      <c r="G372" s="185"/>
      <c r="H372" s="185"/>
      <c r="I372" s="185"/>
      <c r="K372" s="141" t="str">
        <f t="shared" si="31"/>
        <v/>
      </c>
      <c r="L372" s="141" t="str">
        <f t="shared" si="32"/>
        <v/>
      </c>
    </row>
    <row r="373" spans="1:12">
      <c r="A373" s="139" t="str">
        <f>IF(E373="","",VLOOKUP('Opći dio'!$C$3,'Opći dio'!$L$6:$U$136,10,FALSE))</f>
        <v/>
      </c>
      <c r="B373" s="139" t="str">
        <f>IF(E373="","",VLOOKUP('Opći dio'!$C$3,'Opći dio'!$L$6:$U$136,9,FALSE))</f>
        <v/>
      </c>
      <c r="C373" s="187" t="str">
        <f t="shared" si="28"/>
        <v/>
      </c>
      <c r="D373" s="138" t="str">
        <f t="shared" si="29"/>
        <v/>
      </c>
      <c r="E373" s="150"/>
      <c r="F373" s="191" t="str">
        <f t="shared" si="30"/>
        <v/>
      </c>
      <c r="G373" s="185"/>
      <c r="H373" s="185"/>
      <c r="I373" s="185"/>
      <c r="K373" s="141" t="str">
        <f t="shared" si="31"/>
        <v/>
      </c>
      <c r="L373" s="141" t="str">
        <f t="shared" si="32"/>
        <v/>
      </c>
    </row>
    <row r="374" spans="1:12">
      <c r="A374" s="139" t="str">
        <f>IF(E374="","",VLOOKUP('Opći dio'!$C$3,'Opći dio'!$L$6:$U$136,10,FALSE))</f>
        <v/>
      </c>
      <c r="B374" s="139" t="str">
        <f>IF(E374="","",VLOOKUP('Opći dio'!$C$3,'Opći dio'!$L$6:$U$136,9,FALSE))</f>
        <v/>
      </c>
      <c r="C374" s="187" t="str">
        <f t="shared" si="28"/>
        <v/>
      </c>
      <c r="D374" s="138" t="str">
        <f t="shared" si="29"/>
        <v/>
      </c>
      <c r="E374" s="150"/>
      <c r="F374" s="191" t="str">
        <f t="shared" si="30"/>
        <v/>
      </c>
      <c r="G374" s="185"/>
      <c r="H374" s="185"/>
      <c r="I374" s="185"/>
      <c r="K374" s="141" t="str">
        <f t="shared" si="31"/>
        <v/>
      </c>
      <c r="L374" s="141" t="str">
        <f t="shared" si="32"/>
        <v/>
      </c>
    </row>
    <row r="375" spans="1:12">
      <c r="A375" s="139" t="str">
        <f>IF(E375="","",VLOOKUP('Opći dio'!$C$3,'Opći dio'!$L$6:$U$136,10,FALSE))</f>
        <v/>
      </c>
      <c r="B375" s="139" t="str">
        <f>IF(E375="","",VLOOKUP('Opći dio'!$C$3,'Opći dio'!$L$6:$U$136,9,FALSE))</f>
        <v/>
      </c>
      <c r="C375" s="187" t="str">
        <f t="shared" si="28"/>
        <v/>
      </c>
      <c r="D375" s="138" t="str">
        <f t="shared" si="29"/>
        <v/>
      </c>
      <c r="E375" s="150"/>
      <c r="F375" s="191" t="str">
        <f t="shared" si="30"/>
        <v/>
      </c>
      <c r="G375" s="185"/>
      <c r="H375" s="185"/>
      <c r="I375" s="185"/>
      <c r="K375" s="141" t="str">
        <f t="shared" si="31"/>
        <v/>
      </c>
      <c r="L375" s="141" t="str">
        <f t="shared" si="32"/>
        <v/>
      </c>
    </row>
    <row r="376" spans="1:12">
      <c r="A376" s="139" t="str">
        <f>IF(E376="","",VLOOKUP('Opći dio'!$C$3,'Opći dio'!$L$6:$U$136,10,FALSE))</f>
        <v/>
      </c>
      <c r="B376" s="139" t="str">
        <f>IF(E376="","",VLOOKUP('Opći dio'!$C$3,'Opći dio'!$L$6:$U$136,9,FALSE))</f>
        <v/>
      </c>
      <c r="C376" s="187" t="str">
        <f t="shared" si="28"/>
        <v/>
      </c>
      <c r="D376" s="138" t="str">
        <f t="shared" si="29"/>
        <v/>
      </c>
      <c r="E376" s="150"/>
      <c r="F376" s="191" t="str">
        <f t="shared" si="30"/>
        <v/>
      </c>
      <c r="G376" s="185"/>
      <c r="H376" s="185"/>
      <c r="I376" s="185"/>
      <c r="K376" s="141" t="str">
        <f t="shared" si="31"/>
        <v/>
      </c>
      <c r="L376" s="141" t="str">
        <f t="shared" si="32"/>
        <v/>
      </c>
    </row>
    <row r="377" spans="1:12">
      <c r="A377" s="139" t="str">
        <f>IF(E377="","",VLOOKUP('Opći dio'!$C$3,'Opći dio'!$L$6:$U$136,10,FALSE))</f>
        <v/>
      </c>
      <c r="B377" s="139" t="str">
        <f>IF(E377="","",VLOOKUP('Opći dio'!$C$3,'Opći dio'!$L$6:$U$136,9,FALSE))</f>
        <v/>
      </c>
      <c r="C377" s="187" t="str">
        <f t="shared" si="28"/>
        <v/>
      </c>
      <c r="D377" s="138" t="str">
        <f t="shared" si="29"/>
        <v/>
      </c>
      <c r="E377" s="150"/>
      <c r="F377" s="191" t="str">
        <f t="shared" si="30"/>
        <v/>
      </c>
      <c r="G377" s="185"/>
      <c r="H377" s="185"/>
      <c r="I377" s="185"/>
      <c r="K377" s="141" t="str">
        <f t="shared" si="31"/>
        <v/>
      </c>
      <c r="L377" s="141" t="str">
        <f t="shared" si="32"/>
        <v/>
      </c>
    </row>
    <row r="378" spans="1:12">
      <c r="A378" s="139" t="str">
        <f>IF(E378="","",VLOOKUP('Opći dio'!$C$3,'Opći dio'!$L$6:$U$136,10,FALSE))</f>
        <v/>
      </c>
      <c r="B378" s="139" t="str">
        <f>IF(E378="","",VLOOKUP('Opći dio'!$C$3,'Opći dio'!$L$6:$U$136,9,FALSE))</f>
        <v/>
      </c>
      <c r="C378" s="187" t="str">
        <f t="shared" si="28"/>
        <v/>
      </c>
      <c r="D378" s="138" t="str">
        <f t="shared" si="29"/>
        <v/>
      </c>
      <c r="E378" s="150"/>
      <c r="F378" s="191" t="str">
        <f t="shared" si="30"/>
        <v/>
      </c>
      <c r="G378" s="185"/>
      <c r="H378" s="185"/>
      <c r="I378" s="185"/>
      <c r="K378" s="141" t="str">
        <f t="shared" si="31"/>
        <v/>
      </c>
      <c r="L378" s="141" t="str">
        <f t="shared" si="32"/>
        <v/>
      </c>
    </row>
    <row r="379" spans="1:12">
      <c r="A379" s="139" t="str">
        <f>IF(E379="","",VLOOKUP('Opći dio'!$C$3,'Opći dio'!$L$6:$U$136,10,FALSE))</f>
        <v/>
      </c>
      <c r="B379" s="139" t="str">
        <f>IF(E379="","",VLOOKUP('Opći dio'!$C$3,'Opći dio'!$L$6:$U$136,9,FALSE))</f>
        <v/>
      </c>
      <c r="C379" s="187" t="str">
        <f t="shared" si="28"/>
        <v/>
      </c>
      <c r="D379" s="138" t="str">
        <f t="shared" si="29"/>
        <v/>
      </c>
      <c r="E379" s="150"/>
      <c r="F379" s="191" t="str">
        <f t="shared" si="30"/>
        <v/>
      </c>
      <c r="G379" s="185"/>
      <c r="H379" s="185"/>
      <c r="I379" s="185"/>
      <c r="K379" s="141" t="str">
        <f t="shared" si="31"/>
        <v/>
      </c>
      <c r="L379" s="141" t="str">
        <f t="shared" si="32"/>
        <v/>
      </c>
    </row>
    <row r="380" spans="1:12">
      <c r="A380" s="139" t="str">
        <f>IF(E380="","",VLOOKUP('Opći dio'!$C$3,'Opći dio'!$L$6:$U$136,10,FALSE))</f>
        <v/>
      </c>
      <c r="B380" s="139" t="str">
        <f>IF(E380="","",VLOOKUP('Opći dio'!$C$3,'Opći dio'!$L$6:$U$136,9,FALSE))</f>
        <v/>
      </c>
      <c r="C380" s="187" t="str">
        <f t="shared" si="28"/>
        <v/>
      </c>
      <c r="D380" s="138" t="str">
        <f t="shared" si="29"/>
        <v/>
      </c>
      <c r="E380" s="150"/>
      <c r="F380" s="191" t="str">
        <f t="shared" si="30"/>
        <v/>
      </c>
      <c r="G380" s="185"/>
      <c r="H380" s="185"/>
      <c r="I380" s="185"/>
      <c r="K380" s="141" t="str">
        <f t="shared" si="31"/>
        <v/>
      </c>
      <c r="L380" s="141" t="str">
        <f t="shared" si="32"/>
        <v/>
      </c>
    </row>
    <row r="381" spans="1:12">
      <c r="A381" s="139" t="str">
        <f>IF(E381="","",VLOOKUP('Opći dio'!$C$3,'Opći dio'!$L$6:$U$136,10,FALSE))</f>
        <v/>
      </c>
      <c r="B381" s="139" t="str">
        <f>IF(E381="","",VLOOKUP('Opći dio'!$C$3,'Opći dio'!$L$6:$U$136,9,FALSE))</f>
        <v/>
      </c>
      <c r="C381" s="187" t="str">
        <f t="shared" si="28"/>
        <v/>
      </c>
      <c r="D381" s="138" t="str">
        <f t="shared" si="29"/>
        <v/>
      </c>
      <c r="E381" s="150"/>
      <c r="F381" s="191" t="str">
        <f t="shared" si="30"/>
        <v/>
      </c>
      <c r="G381" s="185"/>
      <c r="H381" s="185"/>
      <c r="I381" s="185"/>
      <c r="K381" s="141" t="str">
        <f t="shared" si="31"/>
        <v/>
      </c>
      <c r="L381" s="141" t="str">
        <f t="shared" si="32"/>
        <v/>
      </c>
    </row>
    <row r="382" spans="1:12">
      <c r="A382" s="139" t="str">
        <f>IF(E382="","",VLOOKUP('Opći dio'!$C$3,'Opći dio'!$L$6:$U$136,10,FALSE))</f>
        <v/>
      </c>
      <c r="B382" s="139" t="str">
        <f>IF(E382="","",VLOOKUP('Opći dio'!$C$3,'Opći dio'!$L$6:$U$136,9,FALSE))</f>
        <v/>
      </c>
      <c r="C382" s="187" t="str">
        <f t="shared" si="28"/>
        <v/>
      </c>
      <c r="D382" s="138" t="str">
        <f t="shared" si="29"/>
        <v/>
      </c>
      <c r="E382" s="150"/>
      <c r="F382" s="191" t="str">
        <f t="shared" si="30"/>
        <v/>
      </c>
      <c r="G382" s="185"/>
      <c r="H382" s="185"/>
      <c r="I382" s="185"/>
      <c r="K382" s="141" t="str">
        <f t="shared" si="31"/>
        <v/>
      </c>
      <c r="L382" s="141" t="str">
        <f t="shared" si="32"/>
        <v/>
      </c>
    </row>
    <row r="383" spans="1:12">
      <c r="A383" s="139" t="str">
        <f>IF(E383="","",VLOOKUP('Opći dio'!$C$3,'Opći dio'!$L$6:$U$136,10,FALSE))</f>
        <v/>
      </c>
      <c r="B383" s="139" t="str">
        <f>IF(E383="","",VLOOKUP('Opći dio'!$C$3,'Opći dio'!$L$6:$U$136,9,FALSE))</f>
        <v/>
      </c>
      <c r="C383" s="187" t="str">
        <f t="shared" si="28"/>
        <v/>
      </c>
      <c r="D383" s="138" t="str">
        <f t="shared" si="29"/>
        <v/>
      </c>
      <c r="E383" s="150"/>
      <c r="F383" s="191" t="str">
        <f t="shared" si="30"/>
        <v/>
      </c>
      <c r="G383" s="185"/>
      <c r="H383" s="185"/>
      <c r="I383" s="185"/>
      <c r="K383" s="141" t="str">
        <f t="shared" si="31"/>
        <v/>
      </c>
      <c r="L383" s="141" t="str">
        <f t="shared" si="32"/>
        <v/>
      </c>
    </row>
    <row r="384" spans="1:12">
      <c r="A384" s="139" t="str">
        <f>IF(E384="","",VLOOKUP('Opći dio'!$C$3,'Opći dio'!$L$6:$U$136,10,FALSE))</f>
        <v/>
      </c>
      <c r="B384" s="139" t="str">
        <f>IF(E384="","",VLOOKUP('Opći dio'!$C$3,'Opći dio'!$L$6:$U$136,9,FALSE))</f>
        <v/>
      </c>
      <c r="C384" s="187" t="str">
        <f t="shared" si="28"/>
        <v/>
      </c>
      <c r="D384" s="138" t="str">
        <f t="shared" si="29"/>
        <v/>
      </c>
      <c r="E384" s="150"/>
      <c r="F384" s="191" t="str">
        <f t="shared" si="30"/>
        <v/>
      </c>
      <c r="G384" s="185"/>
      <c r="H384" s="185"/>
      <c r="I384" s="185"/>
      <c r="K384" s="141" t="str">
        <f t="shared" si="31"/>
        <v/>
      </c>
      <c r="L384" s="141" t="str">
        <f t="shared" si="32"/>
        <v/>
      </c>
    </row>
    <row r="385" spans="1:12">
      <c r="A385" s="139" t="str">
        <f>IF(E385="","",VLOOKUP('Opći dio'!$C$3,'Opći dio'!$L$6:$U$136,10,FALSE))</f>
        <v/>
      </c>
      <c r="B385" s="139" t="str">
        <f>IF(E385="","",VLOOKUP('Opći dio'!$C$3,'Opći dio'!$L$6:$U$136,9,FALSE))</f>
        <v/>
      </c>
      <c r="C385" s="187" t="str">
        <f t="shared" si="28"/>
        <v/>
      </c>
      <c r="D385" s="138" t="str">
        <f t="shared" si="29"/>
        <v/>
      </c>
      <c r="E385" s="150"/>
      <c r="F385" s="191" t="str">
        <f t="shared" si="30"/>
        <v/>
      </c>
      <c r="G385" s="185"/>
      <c r="H385" s="185"/>
      <c r="I385" s="185"/>
      <c r="K385" s="141" t="str">
        <f t="shared" si="31"/>
        <v/>
      </c>
      <c r="L385" s="141" t="str">
        <f t="shared" si="32"/>
        <v/>
      </c>
    </row>
    <row r="386" spans="1:12">
      <c r="A386" s="139" t="str">
        <f>IF(E386="","",VLOOKUP('Opći dio'!$C$3,'Opći dio'!$L$6:$U$136,10,FALSE))</f>
        <v/>
      </c>
      <c r="B386" s="139" t="str">
        <f>IF(E386="","",VLOOKUP('Opći dio'!$C$3,'Opći dio'!$L$6:$U$136,9,FALSE))</f>
        <v/>
      </c>
      <c r="C386" s="187" t="str">
        <f t="shared" si="28"/>
        <v/>
      </c>
      <c r="D386" s="138" t="str">
        <f t="shared" si="29"/>
        <v/>
      </c>
      <c r="E386" s="150"/>
      <c r="F386" s="191" t="str">
        <f t="shared" si="30"/>
        <v/>
      </c>
      <c r="G386" s="185"/>
      <c r="H386" s="185"/>
      <c r="I386" s="185"/>
      <c r="K386" s="141" t="str">
        <f t="shared" si="31"/>
        <v/>
      </c>
      <c r="L386" s="141" t="str">
        <f t="shared" si="32"/>
        <v/>
      </c>
    </row>
    <row r="387" spans="1:12">
      <c r="A387" s="139" t="str">
        <f>IF(E387="","",VLOOKUP('Opći dio'!$C$3,'Opći dio'!$L$6:$U$136,10,FALSE))</f>
        <v/>
      </c>
      <c r="B387" s="139" t="str">
        <f>IF(E387="","",VLOOKUP('Opći dio'!$C$3,'Opći dio'!$L$6:$U$136,9,FALSE))</f>
        <v/>
      </c>
      <c r="C387" s="187" t="str">
        <f t="shared" si="28"/>
        <v/>
      </c>
      <c r="D387" s="138" t="str">
        <f t="shared" si="29"/>
        <v/>
      </c>
      <c r="E387" s="150"/>
      <c r="F387" s="191" t="str">
        <f t="shared" si="30"/>
        <v/>
      </c>
      <c r="G387" s="185"/>
      <c r="H387" s="185"/>
      <c r="I387" s="185"/>
      <c r="K387" s="141" t="str">
        <f t="shared" si="31"/>
        <v/>
      </c>
      <c r="L387" s="141" t="str">
        <f t="shared" si="32"/>
        <v/>
      </c>
    </row>
    <row r="388" spans="1:12">
      <c r="A388" s="139" t="str">
        <f>IF(E388="","",VLOOKUP('Opći dio'!$C$3,'Opći dio'!$L$6:$U$136,10,FALSE))</f>
        <v/>
      </c>
      <c r="B388" s="139" t="str">
        <f>IF(E388="","",VLOOKUP('Opći dio'!$C$3,'Opći dio'!$L$6:$U$136,9,FALSE))</f>
        <v/>
      </c>
      <c r="C388" s="187" t="str">
        <f t="shared" ref="C388:C451" si="33">IFERROR(VLOOKUP(E388,$Q$6:$T$200,3,FALSE),"")</f>
        <v/>
      </c>
      <c r="D388" s="138" t="str">
        <f t="shared" ref="D388:D451" si="34">IFERROR(VLOOKUP(E388,$Q$6:$T$200,4,FALSE),"")</f>
        <v/>
      </c>
      <c r="E388" s="150"/>
      <c r="F388" s="191" t="str">
        <f t="shared" ref="F388:F451" si="35">IFERROR(VLOOKUP(E388,$Q$6:$T$200,2,FALSE),"")</f>
        <v/>
      </c>
      <c r="G388" s="185"/>
      <c r="H388" s="185"/>
      <c r="I388" s="185"/>
      <c r="K388" s="141" t="str">
        <f t="shared" ref="K388:K451" si="36">LEFT(E388,3)</f>
        <v/>
      </c>
      <c r="L388" s="141" t="str">
        <f t="shared" ref="L388:L451" si="37">LEFT(E388,2)</f>
        <v/>
      </c>
    </row>
    <row r="389" spans="1:12">
      <c r="A389" s="139" t="str">
        <f>IF(E389="","",VLOOKUP('Opći dio'!$C$3,'Opći dio'!$L$6:$U$136,10,FALSE))</f>
        <v/>
      </c>
      <c r="B389" s="139" t="str">
        <f>IF(E389="","",VLOOKUP('Opći dio'!$C$3,'Opći dio'!$L$6:$U$136,9,FALSE))</f>
        <v/>
      </c>
      <c r="C389" s="187" t="str">
        <f t="shared" si="33"/>
        <v/>
      </c>
      <c r="D389" s="138" t="str">
        <f t="shared" si="34"/>
        <v/>
      </c>
      <c r="E389" s="150"/>
      <c r="F389" s="191" t="str">
        <f t="shared" si="35"/>
        <v/>
      </c>
      <c r="G389" s="185"/>
      <c r="H389" s="185"/>
      <c r="I389" s="185"/>
      <c r="K389" s="141" t="str">
        <f t="shared" si="36"/>
        <v/>
      </c>
      <c r="L389" s="141" t="str">
        <f t="shared" si="37"/>
        <v/>
      </c>
    </row>
    <row r="390" spans="1:12">
      <c r="A390" s="139" t="str">
        <f>IF(E390="","",VLOOKUP('Opći dio'!$C$3,'Opći dio'!$L$6:$U$136,10,FALSE))</f>
        <v/>
      </c>
      <c r="B390" s="139" t="str">
        <f>IF(E390="","",VLOOKUP('Opći dio'!$C$3,'Opći dio'!$L$6:$U$136,9,FALSE))</f>
        <v/>
      </c>
      <c r="C390" s="187" t="str">
        <f t="shared" si="33"/>
        <v/>
      </c>
      <c r="D390" s="138" t="str">
        <f t="shared" si="34"/>
        <v/>
      </c>
      <c r="E390" s="150"/>
      <c r="F390" s="191" t="str">
        <f t="shared" si="35"/>
        <v/>
      </c>
      <c r="G390" s="185"/>
      <c r="H390" s="185"/>
      <c r="I390" s="185"/>
      <c r="K390" s="141" t="str">
        <f t="shared" si="36"/>
        <v/>
      </c>
      <c r="L390" s="141" t="str">
        <f t="shared" si="37"/>
        <v/>
      </c>
    </row>
    <row r="391" spans="1:12">
      <c r="A391" s="139" t="str">
        <f>IF(E391="","",VLOOKUP('Opći dio'!$C$3,'Opći dio'!$L$6:$U$136,10,FALSE))</f>
        <v/>
      </c>
      <c r="B391" s="139" t="str">
        <f>IF(E391="","",VLOOKUP('Opći dio'!$C$3,'Opći dio'!$L$6:$U$136,9,FALSE))</f>
        <v/>
      </c>
      <c r="C391" s="187" t="str">
        <f t="shared" si="33"/>
        <v/>
      </c>
      <c r="D391" s="138" t="str">
        <f t="shared" si="34"/>
        <v/>
      </c>
      <c r="E391" s="150"/>
      <c r="F391" s="191" t="str">
        <f t="shared" si="35"/>
        <v/>
      </c>
      <c r="G391" s="185"/>
      <c r="H391" s="185"/>
      <c r="I391" s="185"/>
      <c r="K391" s="141" t="str">
        <f t="shared" si="36"/>
        <v/>
      </c>
      <c r="L391" s="141" t="str">
        <f t="shared" si="37"/>
        <v/>
      </c>
    </row>
    <row r="392" spans="1:12">
      <c r="A392" s="139" t="str">
        <f>IF(E392="","",VLOOKUP('Opći dio'!$C$3,'Opći dio'!$L$6:$U$136,10,FALSE))</f>
        <v/>
      </c>
      <c r="B392" s="139" t="str">
        <f>IF(E392="","",VLOOKUP('Opći dio'!$C$3,'Opći dio'!$L$6:$U$136,9,FALSE))</f>
        <v/>
      </c>
      <c r="C392" s="187" t="str">
        <f t="shared" si="33"/>
        <v/>
      </c>
      <c r="D392" s="138" t="str">
        <f t="shared" si="34"/>
        <v/>
      </c>
      <c r="E392" s="150"/>
      <c r="F392" s="191" t="str">
        <f t="shared" si="35"/>
        <v/>
      </c>
      <c r="G392" s="185"/>
      <c r="H392" s="185"/>
      <c r="I392" s="185"/>
      <c r="K392" s="141" t="str">
        <f t="shared" si="36"/>
        <v/>
      </c>
      <c r="L392" s="141" t="str">
        <f t="shared" si="37"/>
        <v/>
      </c>
    </row>
    <row r="393" spans="1:12">
      <c r="A393" s="139" t="str">
        <f>IF(E393="","",VLOOKUP('Opći dio'!$C$3,'Opći dio'!$L$6:$U$136,10,FALSE))</f>
        <v/>
      </c>
      <c r="B393" s="139" t="str">
        <f>IF(E393="","",VLOOKUP('Opći dio'!$C$3,'Opći dio'!$L$6:$U$136,9,FALSE))</f>
        <v/>
      </c>
      <c r="C393" s="187" t="str">
        <f t="shared" si="33"/>
        <v/>
      </c>
      <c r="D393" s="138" t="str">
        <f t="shared" si="34"/>
        <v/>
      </c>
      <c r="E393" s="150"/>
      <c r="F393" s="191" t="str">
        <f t="shared" si="35"/>
        <v/>
      </c>
      <c r="G393" s="185"/>
      <c r="H393" s="185"/>
      <c r="I393" s="185"/>
      <c r="K393" s="141" t="str">
        <f t="shared" si="36"/>
        <v/>
      </c>
      <c r="L393" s="141" t="str">
        <f t="shared" si="37"/>
        <v/>
      </c>
    </row>
    <row r="394" spans="1:12">
      <c r="A394" s="139" t="str">
        <f>IF(E394="","",VLOOKUP('Opći dio'!$C$3,'Opći dio'!$L$6:$U$136,10,FALSE))</f>
        <v/>
      </c>
      <c r="B394" s="139" t="str">
        <f>IF(E394="","",VLOOKUP('Opći dio'!$C$3,'Opći dio'!$L$6:$U$136,9,FALSE))</f>
        <v/>
      </c>
      <c r="C394" s="187" t="str">
        <f t="shared" si="33"/>
        <v/>
      </c>
      <c r="D394" s="138" t="str">
        <f t="shared" si="34"/>
        <v/>
      </c>
      <c r="E394" s="150"/>
      <c r="F394" s="191" t="str">
        <f t="shared" si="35"/>
        <v/>
      </c>
      <c r="G394" s="185"/>
      <c r="H394" s="185"/>
      <c r="I394" s="185"/>
      <c r="K394" s="141" t="str">
        <f t="shared" si="36"/>
        <v/>
      </c>
      <c r="L394" s="141" t="str">
        <f t="shared" si="37"/>
        <v/>
      </c>
    </row>
    <row r="395" spans="1:12">
      <c r="A395" s="139" t="str">
        <f>IF(E395="","",VLOOKUP('Opći dio'!$C$3,'Opći dio'!$L$6:$U$136,10,FALSE))</f>
        <v/>
      </c>
      <c r="B395" s="139" t="str">
        <f>IF(E395="","",VLOOKUP('Opći dio'!$C$3,'Opći dio'!$L$6:$U$136,9,FALSE))</f>
        <v/>
      </c>
      <c r="C395" s="187" t="str">
        <f t="shared" si="33"/>
        <v/>
      </c>
      <c r="D395" s="138" t="str">
        <f t="shared" si="34"/>
        <v/>
      </c>
      <c r="E395" s="150"/>
      <c r="F395" s="191" t="str">
        <f t="shared" si="35"/>
        <v/>
      </c>
      <c r="G395" s="185"/>
      <c r="H395" s="185"/>
      <c r="I395" s="185"/>
      <c r="K395" s="141" t="str">
        <f t="shared" si="36"/>
        <v/>
      </c>
      <c r="L395" s="141" t="str">
        <f t="shared" si="37"/>
        <v/>
      </c>
    </row>
    <row r="396" spans="1:12">
      <c r="A396" s="139" t="str">
        <f>IF(E396="","",VLOOKUP('Opći dio'!$C$3,'Opći dio'!$L$6:$U$136,10,FALSE))</f>
        <v/>
      </c>
      <c r="B396" s="139" t="str">
        <f>IF(E396="","",VLOOKUP('Opći dio'!$C$3,'Opći dio'!$L$6:$U$136,9,FALSE))</f>
        <v/>
      </c>
      <c r="C396" s="187" t="str">
        <f t="shared" si="33"/>
        <v/>
      </c>
      <c r="D396" s="138" t="str">
        <f t="shared" si="34"/>
        <v/>
      </c>
      <c r="E396" s="150"/>
      <c r="F396" s="191" t="str">
        <f t="shared" si="35"/>
        <v/>
      </c>
      <c r="G396" s="185"/>
      <c r="H396" s="185"/>
      <c r="I396" s="185"/>
      <c r="K396" s="141" t="str">
        <f t="shared" si="36"/>
        <v/>
      </c>
      <c r="L396" s="141" t="str">
        <f t="shared" si="37"/>
        <v/>
      </c>
    </row>
    <row r="397" spans="1:12">
      <c r="A397" s="139" t="str">
        <f>IF(E397="","",VLOOKUP('Opći dio'!$C$3,'Opći dio'!$L$6:$U$136,10,FALSE))</f>
        <v/>
      </c>
      <c r="B397" s="139" t="str">
        <f>IF(E397="","",VLOOKUP('Opći dio'!$C$3,'Opći dio'!$L$6:$U$136,9,FALSE))</f>
        <v/>
      </c>
      <c r="C397" s="187" t="str">
        <f t="shared" si="33"/>
        <v/>
      </c>
      <c r="D397" s="138" t="str">
        <f t="shared" si="34"/>
        <v/>
      </c>
      <c r="E397" s="150"/>
      <c r="F397" s="191" t="str">
        <f t="shared" si="35"/>
        <v/>
      </c>
      <c r="G397" s="185"/>
      <c r="H397" s="185"/>
      <c r="I397" s="185"/>
      <c r="K397" s="141" t="str">
        <f t="shared" si="36"/>
        <v/>
      </c>
      <c r="L397" s="141" t="str">
        <f t="shared" si="37"/>
        <v/>
      </c>
    </row>
    <row r="398" spans="1:12">
      <c r="A398" s="139" t="str">
        <f>IF(E398="","",VLOOKUP('Opći dio'!$C$3,'Opći dio'!$L$6:$U$136,10,FALSE))</f>
        <v/>
      </c>
      <c r="B398" s="139" t="str">
        <f>IF(E398="","",VLOOKUP('Opći dio'!$C$3,'Opći dio'!$L$6:$U$136,9,FALSE))</f>
        <v/>
      </c>
      <c r="C398" s="187" t="str">
        <f t="shared" si="33"/>
        <v/>
      </c>
      <c r="D398" s="138" t="str">
        <f t="shared" si="34"/>
        <v/>
      </c>
      <c r="E398" s="150"/>
      <c r="F398" s="191" t="str">
        <f t="shared" si="35"/>
        <v/>
      </c>
      <c r="G398" s="185"/>
      <c r="H398" s="185"/>
      <c r="I398" s="185"/>
      <c r="K398" s="141" t="str">
        <f t="shared" si="36"/>
        <v/>
      </c>
      <c r="L398" s="141" t="str">
        <f t="shared" si="37"/>
        <v/>
      </c>
    </row>
    <row r="399" spans="1:12">
      <c r="A399" s="139" t="str">
        <f>IF(E399="","",VLOOKUP('Opći dio'!$C$3,'Opći dio'!$L$6:$U$136,10,FALSE))</f>
        <v/>
      </c>
      <c r="B399" s="139" t="str">
        <f>IF(E399="","",VLOOKUP('Opći dio'!$C$3,'Opći dio'!$L$6:$U$136,9,FALSE))</f>
        <v/>
      </c>
      <c r="C399" s="187" t="str">
        <f t="shared" si="33"/>
        <v/>
      </c>
      <c r="D399" s="138" t="str">
        <f t="shared" si="34"/>
        <v/>
      </c>
      <c r="E399" s="150"/>
      <c r="F399" s="191" t="str">
        <f t="shared" si="35"/>
        <v/>
      </c>
      <c r="G399" s="185"/>
      <c r="H399" s="185"/>
      <c r="I399" s="185"/>
      <c r="K399" s="141" t="str">
        <f t="shared" si="36"/>
        <v/>
      </c>
      <c r="L399" s="141" t="str">
        <f t="shared" si="37"/>
        <v/>
      </c>
    </row>
    <row r="400" spans="1:12">
      <c r="A400" s="139" t="str">
        <f>IF(E400="","",VLOOKUP('Opći dio'!$C$3,'Opći dio'!$L$6:$U$136,10,FALSE))</f>
        <v/>
      </c>
      <c r="B400" s="139" t="str">
        <f>IF(E400="","",VLOOKUP('Opći dio'!$C$3,'Opći dio'!$L$6:$U$136,9,FALSE))</f>
        <v/>
      </c>
      <c r="C400" s="187" t="str">
        <f t="shared" si="33"/>
        <v/>
      </c>
      <c r="D400" s="138" t="str">
        <f t="shared" si="34"/>
        <v/>
      </c>
      <c r="E400" s="150"/>
      <c r="F400" s="191" t="str">
        <f t="shared" si="35"/>
        <v/>
      </c>
      <c r="G400" s="185"/>
      <c r="H400" s="185"/>
      <c r="I400" s="185"/>
      <c r="K400" s="141" t="str">
        <f t="shared" si="36"/>
        <v/>
      </c>
      <c r="L400" s="141" t="str">
        <f t="shared" si="37"/>
        <v/>
      </c>
    </row>
    <row r="401" spans="1:12">
      <c r="A401" s="139" t="str">
        <f>IF(E401="","",VLOOKUP('Opći dio'!$C$3,'Opći dio'!$L$6:$U$136,10,FALSE))</f>
        <v/>
      </c>
      <c r="B401" s="139" t="str">
        <f>IF(E401="","",VLOOKUP('Opći dio'!$C$3,'Opći dio'!$L$6:$U$136,9,FALSE))</f>
        <v/>
      </c>
      <c r="C401" s="187" t="str">
        <f t="shared" si="33"/>
        <v/>
      </c>
      <c r="D401" s="138" t="str">
        <f t="shared" si="34"/>
        <v/>
      </c>
      <c r="E401" s="150"/>
      <c r="F401" s="191" t="str">
        <f t="shared" si="35"/>
        <v/>
      </c>
      <c r="G401" s="185"/>
      <c r="H401" s="185"/>
      <c r="I401" s="185"/>
      <c r="K401" s="141" t="str">
        <f t="shared" si="36"/>
        <v/>
      </c>
      <c r="L401" s="141" t="str">
        <f t="shared" si="37"/>
        <v/>
      </c>
    </row>
    <row r="402" spans="1:12">
      <c r="A402" s="139" t="str">
        <f>IF(E402="","",VLOOKUP('Opći dio'!$C$3,'Opći dio'!$L$6:$U$136,10,FALSE))</f>
        <v/>
      </c>
      <c r="B402" s="139" t="str">
        <f>IF(E402="","",VLOOKUP('Opći dio'!$C$3,'Opći dio'!$L$6:$U$136,9,FALSE))</f>
        <v/>
      </c>
      <c r="C402" s="187" t="str">
        <f t="shared" si="33"/>
        <v/>
      </c>
      <c r="D402" s="138" t="str">
        <f t="shared" si="34"/>
        <v/>
      </c>
      <c r="E402" s="150"/>
      <c r="F402" s="191" t="str">
        <f t="shared" si="35"/>
        <v/>
      </c>
      <c r="G402" s="185"/>
      <c r="H402" s="185"/>
      <c r="I402" s="185"/>
      <c r="K402" s="141" t="str">
        <f t="shared" si="36"/>
        <v/>
      </c>
      <c r="L402" s="141" t="str">
        <f t="shared" si="37"/>
        <v/>
      </c>
    </row>
    <row r="403" spans="1:12">
      <c r="A403" s="139" t="str">
        <f>IF(E403="","",VLOOKUP('Opći dio'!$C$3,'Opći dio'!$L$6:$U$136,10,FALSE))</f>
        <v/>
      </c>
      <c r="B403" s="139" t="str">
        <f>IF(E403="","",VLOOKUP('Opći dio'!$C$3,'Opći dio'!$L$6:$U$136,9,FALSE))</f>
        <v/>
      </c>
      <c r="C403" s="187" t="str">
        <f t="shared" si="33"/>
        <v/>
      </c>
      <c r="D403" s="138" t="str">
        <f t="shared" si="34"/>
        <v/>
      </c>
      <c r="E403" s="150"/>
      <c r="F403" s="191" t="str">
        <f t="shared" si="35"/>
        <v/>
      </c>
      <c r="G403" s="185"/>
      <c r="H403" s="185"/>
      <c r="I403" s="185"/>
      <c r="K403" s="141" t="str">
        <f t="shared" si="36"/>
        <v/>
      </c>
      <c r="L403" s="141" t="str">
        <f t="shared" si="37"/>
        <v/>
      </c>
    </row>
    <row r="404" spans="1:12">
      <c r="A404" s="139" t="str">
        <f>IF(E404="","",VLOOKUP('Opći dio'!$C$3,'Opći dio'!$L$6:$U$136,10,FALSE))</f>
        <v/>
      </c>
      <c r="B404" s="139" t="str">
        <f>IF(E404="","",VLOOKUP('Opći dio'!$C$3,'Opći dio'!$L$6:$U$136,9,FALSE))</f>
        <v/>
      </c>
      <c r="C404" s="187" t="str">
        <f t="shared" si="33"/>
        <v/>
      </c>
      <c r="D404" s="138" t="str">
        <f t="shared" si="34"/>
        <v/>
      </c>
      <c r="E404" s="150"/>
      <c r="F404" s="191" t="str">
        <f t="shared" si="35"/>
        <v/>
      </c>
      <c r="G404" s="185"/>
      <c r="H404" s="185"/>
      <c r="I404" s="185"/>
      <c r="K404" s="141" t="str">
        <f t="shared" si="36"/>
        <v/>
      </c>
      <c r="L404" s="141" t="str">
        <f t="shared" si="37"/>
        <v/>
      </c>
    </row>
    <row r="405" spans="1:12">
      <c r="A405" s="139" t="str">
        <f>IF(E405="","",VLOOKUP('Opći dio'!$C$3,'Opći dio'!$L$6:$U$136,10,FALSE))</f>
        <v/>
      </c>
      <c r="B405" s="139" t="str">
        <f>IF(E405="","",VLOOKUP('Opći dio'!$C$3,'Opći dio'!$L$6:$U$136,9,FALSE))</f>
        <v/>
      </c>
      <c r="C405" s="187" t="str">
        <f t="shared" si="33"/>
        <v/>
      </c>
      <c r="D405" s="138" t="str">
        <f t="shared" si="34"/>
        <v/>
      </c>
      <c r="E405" s="150"/>
      <c r="F405" s="191" t="str">
        <f t="shared" si="35"/>
        <v/>
      </c>
      <c r="G405" s="185"/>
      <c r="H405" s="185"/>
      <c r="I405" s="185"/>
      <c r="K405" s="141" t="str">
        <f t="shared" si="36"/>
        <v/>
      </c>
      <c r="L405" s="141" t="str">
        <f t="shared" si="37"/>
        <v/>
      </c>
    </row>
    <row r="406" spans="1:12">
      <c r="A406" s="139" t="str">
        <f>IF(E406="","",VLOOKUP('Opći dio'!$C$3,'Opći dio'!$L$6:$U$136,10,FALSE))</f>
        <v/>
      </c>
      <c r="B406" s="139" t="str">
        <f>IF(E406="","",VLOOKUP('Opći dio'!$C$3,'Opći dio'!$L$6:$U$136,9,FALSE))</f>
        <v/>
      </c>
      <c r="C406" s="187" t="str">
        <f t="shared" si="33"/>
        <v/>
      </c>
      <c r="D406" s="138" t="str">
        <f t="shared" si="34"/>
        <v/>
      </c>
      <c r="E406" s="150"/>
      <c r="F406" s="191" t="str">
        <f t="shared" si="35"/>
        <v/>
      </c>
      <c r="G406" s="185"/>
      <c r="H406" s="185"/>
      <c r="I406" s="185"/>
      <c r="K406" s="141" t="str">
        <f t="shared" si="36"/>
        <v/>
      </c>
      <c r="L406" s="141" t="str">
        <f t="shared" si="37"/>
        <v/>
      </c>
    </row>
    <row r="407" spans="1:12">
      <c r="A407" s="139" t="str">
        <f>IF(E407="","",VLOOKUP('Opći dio'!$C$3,'Opći dio'!$L$6:$U$136,10,FALSE))</f>
        <v/>
      </c>
      <c r="B407" s="139" t="str">
        <f>IF(E407="","",VLOOKUP('Opći dio'!$C$3,'Opći dio'!$L$6:$U$136,9,FALSE))</f>
        <v/>
      </c>
      <c r="C407" s="187" t="str">
        <f t="shared" si="33"/>
        <v/>
      </c>
      <c r="D407" s="138" t="str">
        <f t="shared" si="34"/>
        <v/>
      </c>
      <c r="E407" s="150"/>
      <c r="F407" s="191" t="str">
        <f t="shared" si="35"/>
        <v/>
      </c>
      <c r="G407" s="185"/>
      <c r="H407" s="185"/>
      <c r="I407" s="185"/>
      <c r="K407" s="141" t="str">
        <f t="shared" si="36"/>
        <v/>
      </c>
      <c r="L407" s="141" t="str">
        <f t="shared" si="37"/>
        <v/>
      </c>
    </row>
    <row r="408" spans="1:12">
      <c r="A408" s="139" t="str">
        <f>IF(E408="","",VLOOKUP('Opći dio'!$C$3,'Opći dio'!$L$6:$U$136,10,FALSE))</f>
        <v/>
      </c>
      <c r="B408" s="139" t="str">
        <f>IF(E408="","",VLOOKUP('Opći dio'!$C$3,'Opći dio'!$L$6:$U$136,9,FALSE))</f>
        <v/>
      </c>
      <c r="C408" s="187" t="str">
        <f t="shared" si="33"/>
        <v/>
      </c>
      <c r="D408" s="138" t="str">
        <f t="shared" si="34"/>
        <v/>
      </c>
      <c r="E408" s="150"/>
      <c r="F408" s="191" t="str">
        <f t="shared" si="35"/>
        <v/>
      </c>
      <c r="G408" s="185"/>
      <c r="H408" s="185"/>
      <c r="I408" s="185"/>
      <c r="K408" s="141" t="str">
        <f t="shared" si="36"/>
        <v/>
      </c>
      <c r="L408" s="141" t="str">
        <f t="shared" si="37"/>
        <v/>
      </c>
    </row>
    <row r="409" spans="1:12">
      <c r="A409" s="139" t="str">
        <f>IF(E409="","",VLOOKUP('Opći dio'!$C$3,'Opći dio'!$L$6:$U$136,10,FALSE))</f>
        <v/>
      </c>
      <c r="B409" s="139" t="str">
        <f>IF(E409="","",VLOOKUP('Opći dio'!$C$3,'Opći dio'!$L$6:$U$136,9,FALSE))</f>
        <v/>
      </c>
      <c r="C409" s="187" t="str">
        <f t="shared" si="33"/>
        <v/>
      </c>
      <c r="D409" s="138" t="str">
        <f t="shared" si="34"/>
        <v/>
      </c>
      <c r="E409" s="150"/>
      <c r="F409" s="191" t="str">
        <f t="shared" si="35"/>
        <v/>
      </c>
      <c r="G409" s="185"/>
      <c r="H409" s="185"/>
      <c r="I409" s="185"/>
      <c r="K409" s="141" t="str">
        <f t="shared" si="36"/>
        <v/>
      </c>
      <c r="L409" s="141" t="str">
        <f t="shared" si="37"/>
        <v/>
      </c>
    </row>
    <row r="410" spans="1:12">
      <c r="A410" s="139" t="str">
        <f>IF(E410="","",VLOOKUP('Opći dio'!$C$3,'Opći dio'!$L$6:$U$136,10,FALSE))</f>
        <v/>
      </c>
      <c r="B410" s="139" t="str">
        <f>IF(E410="","",VLOOKUP('Opći dio'!$C$3,'Opći dio'!$L$6:$U$136,9,FALSE))</f>
        <v/>
      </c>
      <c r="C410" s="187" t="str">
        <f t="shared" si="33"/>
        <v/>
      </c>
      <c r="D410" s="138" t="str">
        <f t="shared" si="34"/>
        <v/>
      </c>
      <c r="E410" s="150"/>
      <c r="F410" s="191" t="str">
        <f t="shared" si="35"/>
        <v/>
      </c>
      <c r="G410" s="185"/>
      <c r="H410" s="185"/>
      <c r="I410" s="185"/>
      <c r="K410" s="141" t="str">
        <f t="shared" si="36"/>
        <v/>
      </c>
      <c r="L410" s="141" t="str">
        <f t="shared" si="37"/>
        <v/>
      </c>
    </row>
    <row r="411" spans="1:12">
      <c r="A411" s="139" t="str">
        <f>IF(E411="","",VLOOKUP('Opći dio'!$C$3,'Opći dio'!$L$6:$U$136,10,FALSE))</f>
        <v/>
      </c>
      <c r="B411" s="139" t="str">
        <f>IF(E411="","",VLOOKUP('Opći dio'!$C$3,'Opći dio'!$L$6:$U$136,9,FALSE))</f>
        <v/>
      </c>
      <c r="C411" s="187" t="str">
        <f t="shared" si="33"/>
        <v/>
      </c>
      <c r="D411" s="138" t="str">
        <f t="shared" si="34"/>
        <v/>
      </c>
      <c r="E411" s="150"/>
      <c r="F411" s="191" t="str">
        <f t="shared" si="35"/>
        <v/>
      </c>
      <c r="G411" s="185"/>
      <c r="H411" s="185"/>
      <c r="I411" s="185"/>
      <c r="K411" s="141" t="str">
        <f t="shared" si="36"/>
        <v/>
      </c>
      <c r="L411" s="141" t="str">
        <f t="shared" si="37"/>
        <v/>
      </c>
    </row>
    <row r="412" spans="1:12">
      <c r="A412" s="139" t="str">
        <f>IF(E412="","",VLOOKUP('Opći dio'!$C$3,'Opći dio'!$L$6:$U$136,10,FALSE))</f>
        <v/>
      </c>
      <c r="B412" s="139" t="str">
        <f>IF(E412="","",VLOOKUP('Opći dio'!$C$3,'Opći dio'!$L$6:$U$136,9,FALSE))</f>
        <v/>
      </c>
      <c r="C412" s="187" t="str">
        <f t="shared" si="33"/>
        <v/>
      </c>
      <c r="D412" s="138" t="str">
        <f t="shared" si="34"/>
        <v/>
      </c>
      <c r="E412" s="150"/>
      <c r="F412" s="191" t="str">
        <f t="shared" si="35"/>
        <v/>
      </c>
      <c r="G412" s="185"/>
      <c r="H412" s="185"/>
      <c r="I412" s="185"/>
      <c r="K412" s="141" t="str">
        <f t="shared" si="36"/>
        <v/>
      </c>
      <c r="L412" s="141" t="str">
        <f t="shared" si="37"/>
        <v/>
      </c>
    </row>
    <row r="413" spans="1:12">
      <c r="A413" s="139" t="str">
        <f>IF(E413="","",VLOOKUP('Opći dio'!$C$3,'Opći dio'!$L$6:$U$136,10,FALSE))</f>
        <v/>
      </c>
      <c r="B413" s="139" t="str">
        <f>IF(E413="","",VLOOKUP('Opći dio'!$C$3,'Opći dio'!$L$6:$U$136,9,FALSE))</f>
        <v/>
      </c>
      <c r="C413" s="187" t="str">
        <f t="shared" si="33"/>
        <v/>
      </c>
      <c r="D413" s="138" t="str">
        <f t="shared" si="34"/>
        <v/>
      </c>
      <c r="E413" s="150"/>
      <c r="F413" s="191" t="str">
        <f t="shared" si="35"/>
        <v/>
      </c>
      <c r="G413" s="185"/>
      <c r="H413" s="185"/>
      <c r="I413" s="185"/>
      <c r="K413" s="141" t="str">
        <f t="shared" si="36"/>
        <v/>
      </c>
      <c r="L413" s="141" t="str">
        <f t="shared" si="37"/>
        <v/>
      </c>
    </row>
    <row r="414" spans="1:12">
      <c r="A414" s="139" t="str">
        <f>IF(E414="","",VLOOKUP('Opći dio'!$C$3,'Opći dio'!$L$6:$U$136,10,FALSE))</f>
        <v/>
      </c>
      <c r="B414" s="139" t="str">
        <f>IF(E414="","",VLOOKUP('Opći dio'!$C$3,'Opći dio'!$L$6:$U$136,9,FALSE))</f>
        <v/>
      </c>
      <c r="C414" s="187" t="str">
        <f t="shared" si="33"/>
        <v/>
      </c>
      <c r="D414" s="138" t="str">
        <f t="shared" si="34"/>
        <v/>
      </c>
      <c r="E414" s="150"/>
      <c r="F414" s="191" t="str">
        <f t="shared" si="35"/>
        <v/>
      </c>
      <c r="G414" s="185"/>
      <c r="H414" s="185"/>
      <c r="I414" s="185"/>
      <c r="K414" s="141" t="str">
        <f t="shared" si="36"/>
        <v/>
      </c>
      <c r="L414" s="141" t="str">
        <f t="shared" si="37"/>
        <v/>
      </c>
    </row>
    <row r="415" spans="1:12">
      <c r="A415" s="139" t="str">
        <f>IF(E415="","",VLOOKUP('Opći dio'!$C$3,'Opći dio'!$L$6:$U$136,10,FALSE))</f>
        <v/>
      </c>
      <c r="B415" s="139" t="str">
        <f>IF(E415="","",VLOOKUP('Opći dio'!$C$3,'Opći dio'!$L$6:$U$136,9,FALSE))</f>
        <v/>
      </c>
      <c r="C415" s="187" t="str">
        <f t="shared" si="33"/>
        <v/>
      </c>
      <c r="D415" s="138" t="str">
        <f t="shared" si="34"/>
        <v/>
      </c>
      <c r="E415" s="150"/>
      <c r="F415" s="191" t="str">
        <f t="shared" si="35"/>
        <v/>
      </c>
      <c r="G415" s="185"/>
      <c r="H415" s="185"/>
      <c r="I415" s="185"/>
      <c r="K415" s="141" t="str">
        <f t="shared" si="36"/>
        <v/>
      </c>
      <c r="L415" s="141" t="str">
        <f t="shared" si="37"/>
        <v/>
      </c>
    </row>
    <row r="416" spans="1:12">
      <c r="A416" s="139" t="str">
        <f>IF(E416="","",VLOOKUP('Opći dio'!$C$3,'Opći dio'!$L$6:$U$136,10,FALSE))</f>
        <v/>
      </c>
      <c r="B416" s="139" t="str">
        <f>IF(E416="","",VLOOKUP('Opći dio'!$C$3,'Opći dio'!$L$6:$U$136,9,FALSE))</f>
        <v/>
      </c>
      <c r="C416" s="187" t="str">
        <f t="shared" si="33"/>
        <v/>
      </c>
      <c r="D416" s="138" t="str">
        <f t="shared" si="34"/>
        <v/>
      </c>
      <c r="E416" s="150"/>
      <c r="F416" s="191" t="str">
        <f t="shared" si="35"/>
        <v/>
      </c>
      <c r="G416" s="185"/>
      <c r="H416" s="185"/>
      <c r="I416" s="185"/>
      <c r="K416" s="141" t="str">
        <f t="shared" si="36"/>
        <v/>
      </c>
      <c r="L416" s="141" t="str">
        <f t="shared" si="37"/>
        <v/>
      </c>
    </row>
    <row r="417" spans="1:12">
      <c r="A417" s="139" t="str">
        <f>IF(E417="","",VLOOKUP('Opći dio'!$C$3,'Opći dio'!$L$6:$U$136,10,FALSE))</f>
        <v/>
      </c>
      <c r="B417" s="139" t="str">
        <f>IF(E417="","",VLOOKUP('Opći dio'!$C$3,'Opći dio'!$L$6:$U$136,9,FALSE))</f>
        <v/>
      </c>
      <c r="C417" s="187" t="str">
        <f t="shared" si="33"/>
        <v/>
      </c>
      <c r="D417" s="138" t="str">
        <f t="shared" si="34"/>
        <v/>
      </c>
      <c r="E417" s="150"/>
      <c r="F417" s="191" t="str">
        <f t="shared" si="35"/>
        <v/>
      </c>
      <c r="G417" s="185"/>
      <c r="H417" s="185"/>
      <c r="I417" s="185"/>
      <c r="K417" s="141" t="str">
        <f t="shared" si="36"/>
        <v/>
      </c>
      <c r="L417" s="141" t="str">
        <f t="shared" si="37"/>
        <v/>
      </c>
    </row>
    <row r="418" spans="1:12">
      <c r="A418" s="139" t="str">
        <f>IF(E418="","",VLOOKUP('Opći dio'!$C$3,'Opći dio'!$L$6:$U$136,10,FALSE))</f>
        <v/>
      </c>
      <c r="B418" s="139" t="str">
        <f>IF(E418="","",VLOOKUP('Opći dio'!$C$3,'Opći dio'!$L$6:$U$136,9,FALSE))</f>
        <v/>
      </c>
      <c r="C418" s="187" t="str">
        <f t="shared" si="33"/>
        <v/>
      </c>
      <c r="D418" s="138" t="str">
        <f t="shared" si="34"/>
        <v/>
      </c>
      <c r="E418" s="150"/>
      <c r="F418" s="191" t="str">
        <f t="shared" si="35"/>
        <v/>
      </c>
      <c r="G418" s="185"/>
      <c r="H418" s="185"/>
      <c r="I418" s="185"/>
      <c r="K418" s="141" t="str">
        <f t="shared" si="36"/>
        <v/>
      </c>
      <c r="L418" s="141" t="str">
        <f t="shared" si="37"/>
        <v/>
      </c>
    </row>
    <row r="419" spans="1:12">
      <c r="A419" s="139" t="str">
        <f>IF(E419="","",VLOOKUP('Opći dio'!$C$3,'Opći dio'!$L$6:$U$136,10,FALSE))</f>
        <v/>
      </c>
      <c r="B419" s="139" t="str">
        <f>IF(E419="","",VLOOKUP('Opći dio'!$C$3,'Opći dio'!$L$6:$U$136,9,FALSE))</f>
        <v/>
      </c>
      <c r="C419" s="187" t="str">
        <f t="shared" si="33"/>
        <v/>
      </c>
      <c r="D419" s="138" t="str">
        <f t="shared" si="34"/>
        <v/>
      </c>
      <c r="E419" s="150"/>
      <c r="F419" s="191" t="str">
        <f t="shared" si="35"/>
        <v/>
      </c>
      <c r="G419" s="185"/>
      <c r="H419" s="185"/>
      <c r="I419" s="185"/>
      <c r="K419" s="141" t="str">
        <f t="shared" si="36"/>
        <v/>
      </c>
      <c r="L419" s="141" t="str">
        <f t="shared" si="37"/>
        <v/>
      </c>
    </row>
    <row r="420" spans="1:12">
      <c r="A420" s="139" t="str">
        <f>IF(E420="","",VLOOKUP('Opći dio'!$C$3,'Opći dio'!$L$6:$U$136,10,FALSE))</f>
        <v/>
      </c>
      <c r="B420" s="139" t="str">
        <f>IF(E420="","",VLOOKUP('Opći dio'!$C$3,'Opći dio'!$L$6:$U$136,9,FALSE))</f>
        <v/>
      </c>
      <c r="C420" s="187" t="str">
        <f t="shared" si="33"/>
        <v/>
      </c>
      <c r="D420" s="138" t="str">
        <f t="shared" si="34"/>
        <v/>
      </c>
      <c r="E420" s="150"/>
      <c r="F420" s="191" t="str">
        <f t="shared" si="35"/>
        <v/>
      </c>
      <c r="G420" s="185"/>
      <c r="H420" s="185"/>
      <c r="I420" s="185"/>
      <c r="K420" s="141" t="str">
        <f t="shared" si="36"/>
        <v/>
      </c>
      <c r="L420" s="141" t="str">
        <f t="shared" si="37"/>
        <v/>
      </c>
    </row>
    <row r="421" spans="1:12">
      <c r="A421" s="139" t="str">
        <f>IF(E421="","",VLOOKUP('Opći dio'!$C$3,'Opći dio'!$L$6:$U$136,10,FALSE))</f>
        <v/>
      </c>
      <c r="B421" s="139" t="str">
        <f>IF(E421="","",VLOOKUP('Opći dio'!$C$3,'Opći dio'!$L$6:$U$136,9,FALSE))</f>
        <v/>
      </c>
      <c r="C421" s="187" t="str">
        <f t="shared" si="33"/>
        <v/>
      </c>
      <c r="D421" s="138" t="str">
        <f t="shared" si="34"/>
        <v/>
      </c>
      <c r="E421" s="150"/>
      <c r="F421" s="191" t="str">
        <f t="shared" si="35"/>
        <v/>
      </c>
      <c r="G421" s="185"/>
      <c r="H421" s="185"/>
      <c r="I421" s="185"/>
      <c r="K421" s="141" t="str">
        <f t="shared" si="36"/>
        <v/>
      </c>
      <c r="L421" s="141" t="str">
        <f t="shared" si="37"/>
        <v/>
      </c>
    </row>
    <row r="422" spans="1:12">
      <c r="A422" s="139" t="str">
        <f>IF(E422="","",VLOOKUP('Opći dio'!$C$3,'Opći dio'!$L$6:$U$136,10,FALSE))</f>
        <v/>
      </c>
      <c r="B422" s="139" t="str">
        <f>IF(E422="","",VLOOKUP('Opći dio'!$C$3,'Opći dio'!$L$6:$U$136,9,FALSE))</f>
        <v/>
      </c>
      <c r="C422" s="187" t="str">
        <f t="shared" si="33"/>
        <v/>
      </c>
      <c r="D422" s="138" t="str">
        <f t="shared" si="34"/>
        <v/>
      </c>
      <c r="E422" s="150"/>
      <c r="F422" s="191" t="str">
        <f t="shared" si="35"/>
        <v/>
      </c>
      <c r="G422" s="185"/>
      <c r="H422" s="185"/>
      <c r="I422" s="185"/>
      <c r="K422" s="141" t="str">
        <f t="shared" si="36"/>
        <v/>
      </c>
      <c r="L422" s="141" t="str">
        <f t="shared" si="37"/>
        <v/>
      </c>
    </row>
    <row r="423" spans="1:12">
      <c r="A423" s="139" t="str">
        <f>IF(E423="","",VLOOKUP('Opći dio'!$C$3,'Opći dio'!$L$6:$U$136,10,FALSE))</f>
        <v/>
      </c>
      <c r="B423" s="139" t="str">
        <f>IF(E423="","",VLOOKUP('Opći dio'!$C$3,'Opći dio'!$L$6:$U$136,9,FALSE))</f>
        <v/>
      </c>
      <c r="C423" s="187" t="str">
        <f t="shared" si="33"/>
        <v/>
      </c>
      <c r="D423" s="138" t="str">
        <f t="shared" si="34"/>
        <v/>
      </c>
      <c r="E423" s="150"/>
      <c r="F423" s="191" t="str">
        <f t="shared" si="35"/>
        <v/>
      </c>
      <c r="G423" s="185"/>
      <c r="H423" s="185"/>
      <c r="I423" s="185"/>
      <c r="K423" s="141" t="str">
        <f t="shared" si="36"/>
        <v/>
      </c>
      <c r="L423" s="141" t="str">
        <f t="shared" si="37"/>
        <v/>
      </c>
    </row>
    <row r="424" spans="1:12">
      <c r="A424" s="139" t="str">
        <f>IF(E424="","",VLOOKUP('Opći dio'!$C$3,'Opći dio'!$L$6:$U$136,10,FALSE))</f>
        <v/>
      </c>
      <c r="B424" s="139" t="str">
        <f>IF(E424="","",VLOOKUP('Opći dio'!$C$3,'Opći dio'!$L$6:$U$136,9,FALSE))</f>
        <v/>
      </c>
      <c r="C424" s="187" t="str">
        <f t="shared" si="33"/>
        <v/>
      </c>
      <c r="D424" s="138" t="str">
        <f t="shared" si="34"/>
        <v/>
      </c>
      <c r="E424" s="150"/>
      <c r="F424" s="191" t="str">
        <f t="shared" si="35"/>
        <v/>
      </c>
      <c r="G424" s="185"/>
      <c r="H424" s="185"/>
      <c r="I424" s="185"/>
      <c r="K424" s="141" t="str">
        <f t="shared" si="36"/>
        <v/>
      </c>
      <c r="L424" s="141" t="str">
        <f t="shared" si="37"/>
        <v/>
      </c>
    </row>
    <row r="425" spans="1:12">
      <c r="A425" s="139" t="str">
        <f>IF(E425="","",VLOOKUP('Opći dio'!$C$3,'Opći dio'!$L$6:$U$136,10,FALSE))</f>
        <v/>
      </c>
      <c r="B425" s="139" t="str">
        <f>IF(E425="","",VLOOKUP('Opći dio'!$C$3,'Opći dio'!$L$6:$U$136,9,FALSE))</f>
        <v/>
      </c>
      <c r="C425" s="187" t="str">
        <f t="shared" si="33"/>
        <v/>
      </c>
      <c r="D425" s="138" t="str">
        <f t="shared" si="34"/>
        <v/>
      </c>
      <c r="E425" s="150"/>
      <c r="F425" s="191" t="str">
        <f t="shared" si="35"/>
        <v/>
      </c>
      <c r="G425" s="185"/>
      <c r="H425" s="185"/>
      <c r="I425" s="185"/>
      <c r="K425" s="141" t="str">
        <f t="shared" si="36"/>
        <v/>
      </c>
      <c r="L425" s="141" t="str">
        <f t="shared" si="37"/>
        <v/>
      </c>
    </row>
    <row r="426" spans="1:12">
      <c r="A426" s="139" t="str">
        <f>IF(E426="","",VLOOKUP('Opći dio'!$C$3,'Opći dio'!$L$6:$U$136,10,FALSE))</f>
        <v/>
      </c>
      <c r="B426" s="139" t="str">
        <f>IF(E426="","",VLOOKUP('Opći dio'!$C$3,'Opći dio'!$L$6:$U$136,9,FALSE))</f>
        <v/>
      </c>
      <c r="C426" s="187" t="str">
        <f t="shared" si="33"/>
        <v/>
      </c>
      <c r="D426" s="138" t="str">
        <f t="shared" si="34"/>
        <v/>
      </c>
      <c r="E426" s="150"/>
      <c r="F426" s="191" t="str">
        <f t="shared" si="35"/>
        <v/>
      </c>
      <c r="G426" s="185"/>
      <c r="H426" s="185"/>
      <c r="I426" s="185"/>
      <c r="K426" s="141" t="str">
        <f t="shared" si="36"/>
        <v/>
      </c>
      <c r="L426" s="141" t="str">
        <f t="shared" si="37"/>
        <v/>
      </c>
    </row>
    <row r="427" spans="1:12">
      <c r="A427" s="139" t="str">
        <f>IF(E427="","",VLOOKUP('Opći dio'!$C$3,'Opći dio'!$L$6:$U$136,10,FALSE))</f>
        <v/>
      </c>
      <c r="B427" s="139" t="str">
        <f>IF(E427="","",VLOOKUP('Opći dio'!$C$3,'Opći dio'!$L$6:$U$136,9,FALSE))</f>
        <v/>
      </c>
      <c r="C427" s="187" t="str">
        <f t="shared" si="33"/>
        <v/>
      </c>
      <c r="D427" s="138" t="str">
        <f t="shared" si="34"/>
        <v/>
      </c>
      <c r="E427" s="150"/>
      <c r="F427" s="191" t="str">
        <f t="shared" si="35"/>
        <v/>
      </c>
      <c r="G427" s="185"/>
      <c r="H427" s="185"/>
      <c r="I427" s="185"/>
      <c r="K427" s="141" t="str">
        <f t="shared" si="36"/>
        <v/>
      </c>
      <c r="L427" s="141" t="str">
        <f t="shared" si="37"/>
        <v/>
      </c>
    </row>
    <row r="428" spans="1:12">
      <c r="A428" s="139" t="str">
        <f>IF(E428="","",VLOOKUP('Opći dio'!$C$3,'Opći dio'!$L$6:$U$136,10,FALSE))</f>
        <v/>
      </c>
      <c r="B428" s="139" t="str">
        <f>IF(E428="","",VLOOKUP('Opći dio'!$C$3,'Opći dio'!$L$6:$U$136,9,FALSE))</f>
        <v/>
      </c>
      <c r="C428" s="187" t="str">
        <f t="shared" si="33"/>
        <v/>
      </c>
      <c r="D428" s="138" t="str">
        <f t="shared" si="34"/>
        <v/>
      </c>
      <c r="E428" s="150"/>
      <c r="F428" s="191" t="str">
        <f t="shared" si="35"/>
        <v/>
      </c>
      <c r="G428" s="185"/>
      <c r="H428" s="185"/>
      <c r="I428" s="185"/>
      <c r="K428" s="141" t="str">
        <f t="shared" si="36"/>
        <v/>
      </c>
      <c r="L428" s="141" t="str">
        <f t="shared" si="37"/>
        <v/>
      </c>
    </row>
    <row r="429" spans="1:12">
      <c r="A429" s="139" t="str">
        <f>IF(E429="","",VLOOKUP('Opći dio'!$C$3,'Opći dio'!$L$6:$U$136,10,FALSE))</f>
        <v/>
      </c>
      <c r="B429" s="139" t="str">
        <f>IF(E429="","",VLOOKUP('Opći dio'!$C$3,'Opći dio'!$L$6:$U$136,9,FALSE))</f>
        <v/>
      </c>
      <c r="C429" s="187" t="str">
        <f t="shared" si="33"/>
        <v/>
      </c>
      <c r="D429" s="138" t="str">
        <f t="shared" si="34"/>
        <v/>
      </c>
      <c r="E429" s="150"/>
      <c r="F429" s="191" t="str">
        <f t="shared" si="35"/>
        <v/>
      </c>
      <c r="G429" s="185"/>
      <c r="H429" s="185"/>
      <c r="I429" s="185"/>
      <c r="K429" s="141" t="str">
        <f t="shared" si="36"/>
        <v/>
      </c>
      <c r="L429" s="141" t="str">
        <f t="shared" si="37"/>
        <v/>
      </c>
    </row>
    <row r="430" spans="1:12">
      <c r="A430" s="139" t="str">
        <f>IF(E430="","",VLOOKUP('Opći dio'!$C$3,'Opći dio'!$L$6:$U$136,10,FALSE))</f>
        <v/>
      </c>
      <c r="B430" s="139" t="str">
        <f>IF(E430="","",VLOOKUP('Opći dio'!$C$3,'Opći dio'!$L$6:$U$136,9,FALSE))</f>
        <v/>
      </c>
      <c r="C430" s="187" t="str">
        <f t="shared" si="33"/>
        <v/>
      </c>
      <c r="D430" s="138" t="str">
        <f t="shared" si="34"/>
        <v/>
      </c>
      <c r="E430" s="150"/>
      <c r="F430" s="191" t="str">
        <f t="shared" si="35"/>
        <v/>
      </c>
      <c r="G430" s="185"/>
      <c r="H430" s="185"/>
      <c r="I430" s="185"/>
      <c r="K430" s="141" t="str">
        <f t="shared" si="36"/>
        <v/>
      </c>
      <c r="L430" s="141" t="str">
        <f t="shared" si="37"/>
        <v/>
      </c>
    </row>
    <row r="431" spans="1:12">
      <c r="A431" s="139" t="str">
        <f>IF(E431="","",VLOOKUP('Opći dio'!$C$3,'Opći dio'!$L$6:$U$136,10,FALSE))</f>
        <v/>
      </c>
      <c r="B431" s="139" t="str">
        <f>IF(E431="","",VLOOKUP('Opći dio'!$C$3,'Opći dio'!$L$6:$U$136,9,FALSE))</f>
        <v/>
      </c>
      <c r="C431" s="187" t="str">
        <f t="shared" si="33"/>
        <v/>
      </c>
      <c r="D431" s="138" t="str">
        <f t="shared" si="34"/>
        <v/>
      </c>
      <c r="E431" s="150"/>
      <c r="F431" s="191" t="str">
        <f t="shared" si="35"/>
        <v/>
      </c>
      <c r="G431" s="185"/>
      <c r="H431" s="185"/>
      <c r="I431" s="185"/>
      <c r="K431" s="141" t="str">
        <f t="shared" si="36"/>
        <v/>
      </c>
      <c r="L431" s="141" t="str">
        <f t="shared" si="37"/>
        <v/>
      </c>
    </row>
    <row r="432" spans="1:12">
      <c r="A432" s="139" t="str">
        <f>IF(E432="","",VLOOKUP('Opći dio'!$C$3,'Opći dio'!$L$6:$U$136,10,FALSE))</f>
        <v/>
      </c>
      <c r="B432" s="139" t="str">
        <f>IF(E432="","",VLOOKUP('Opći dio'!$C$3,'Opći dio'!$L$6:$U$136,9,FALSE))</f>
        <v/>
      </c>
      <c r="C432" s="187" t="str">
        <f t="shared" si="33"/>
        <v/>
      </c>
      <c r="D432" s="138" t="str">
        <f t="shared" si="34"/>
        <v/>
      </c>
      <c r="E432" s="150"/>
      <c r="F432" s="191" t="str">
        <f t="shared" si="35"/>
        <v/>
      </c>
      <c r="G432" s="185"/>
      <c r="H432" s="185"/>
      <c r="I432" s="185"/>
      <c r="K432" s="141" t="str">
        <f t="shared" si="36"/>
        <v/>
      </c>
      <c r="L432" s="141" t="str">
        <f t="shared" si="37"/>
        <v/>
      </c>
    </row>
    <row r="433" spans="1:12">
      <c r="A433" s="139" t="str">
        <f>IF(E433="","",VLOOKUP('Opći dio'!$C$3,'Opći dio'!$L$6:$U$136,10,FALSE))</f>
        <v/>
      </c>
      <c r="B433" s="139" t="str">
        <f>IF(E433="","",VLOOKUP('Opći dio'!$C$3,'Opći dio'!$L$6:$U$136,9,FALSE))</f>
        <v/>
      </c>
      <c r="C433" s="187" t="str">
        <f t="shared" si="33"/>
        <v/>
      </c>
      <c r="D433" s="138" t="str">
        <f t="shared" si="34"/>
        <v/>
      </c>
      <c r="E433" s="150"/>
      <c r="F433" s="191" t="str">
        <f t="shared" si="35"/>
        <v/>
      </c>
      <c r="G433" s="185"/>
      <c r="H433" s="185"/>
      <c r="I433" s="185"/>
      <c r="K433" s="141" t="str">
        <f t="shared" si="36"/>
        <v/>
      </c>
      <c r="L433" s="141" t="str">
        <f t="shared" si="37"/>
        <v/>
      </c>
    </row>
    <row r="434" spans="1:12">
      <c r="A434" s="139" t="str">
        <f>IF(E434="","",VLOOKUP('Opći dio'!$C$3,'Opći dio'!$L$6:$U$136,10,FALSE))</f>
        <v/>
      </c>
      <c r="B434" s="139" t="str">
        <f>IF(E434="","",VLOOKUP('Opći dio'!$C$3,'Opći dio'!$L$6:$U$136,9,FALSE))</f>
        <v/>
      </c>
      <c r="C434" s="187" t="str">
        <f t="shared" si="33"/>
        <v/>
      </c>
      <c r="D434" s="138" t="str">
        <f t="shared" si="34"/>
        <v/>
      </c>
      <c r="E434" s="150"/>
      <c r="F434" s="191" t="str">
        <f t="shared" si="35"/>
        <v/>
      </c>
      <c r="G434" s="185"/>
      <c r="H434" s="185"/>
      <c r="I434" s="185"/>
      <c r="K434" s="141" t="str">
        <f t="shared" si="36"/>
        <v/>
      </c>
      <c r="L434" s="141" t="str">
        <f t="shared" si="37"/>
        <v/>
      </c>
    </row>
    <row r="435" spans="1:12">
      <c r="A435" s="139" t="str">
        <f>IF(E435="","",VLOOKUP('Opći dio'!$C$3,'Opći dio'!$L$6:$U$136,10,FALSE))</f>
        <v/>
      </c>
      <c r="B435" s="139" t="str">
        <f>IF(E435="","",VLOOKUP('Opći dio'!$C$3,'Opći dio'!$L$6:$U$136,9,FALSE))</f>
        <v/>
      </c>
      <c r="C435" s="187" t="str">
        <f t="shared" si="33"/>
        <v/>
      </c>
      <c r="D435" s="138" t="str">
        <f t="shared" si="34"/>
        <v/>
      </c>
      <c r="E435" s="150"/>
      <c r="F435" s="191" t="str">
        <f t="shared" si="35"/>
        <v/>
      </c>
      <c r="G435" s="185"/>
      <c r="H435" s="185"/>
      <c r="I435" s="185"/>
      <c r="K435" s="141" t="str">
        <f t="shared" si="36"/>
        <v/>
      </c>
      <c r="L435" s="141" t="str">
        <f t="shared" si="37"/>
        <v/>
      </c>
    </row>
    <row r="436" spans="1:12">
      <c r="A436" s="139" t="str">
        <f>IF(E436="","",VLOOKUP('Opći dio'!$C$3,'Opći dio'!$L$6:$U$136,10,FALSE))</f>
        <v/>
      </c>
      <c r="B436" s="139" t="str">
        <f>IF(E436="","",VLOOKUP('Opći dio'!$C$3,'Opći dio'!$L$6:$U$136,9,FALSE))</f>
        <v/>
      </c>
      <c r="C436" s="187" t="str">
        <f t="shared" si="33"/>
        <v/>
      </c>
      <c r="D436" s="138" t="str">
        <f t="shared" si="34"/>
        <v/>
      </c>
      <c r="E436" s="150"/>
      <c r="F436" s="191" t="str">
        <f t="shared" si="35"/>
        <v/>
      </c>
      <c r="G436" s="185"/>
      <c r="H436" s="185"/>
      <c r="I436" s="185"/>
      <c r="K436" s="141" t="str">
        <f t="shared" si="36"/>
        <v/>
      </c>
      <c r="L436" s="141" t="str">
        <f t="shared" si="37"/>
        <v/>
      </c>
    </row>
    <row r="437" spans="1:12">
      <c r="A437" s="139" t="str">
        <f>IF(E437="","",VLOOKUP('Opći dio'!$C$3,'Opći dio'!$L$6:$U$136,10,FALSE))</f>
        <v/>
      </c>
      <c r="B437" s="139" t="str">
        <f>IF(E437="","",VLOOKUP('Opći dio'!$C$3,'Opći dio'!$L$6:$U$136,9,FALSE))</f>
        <v/>
      </c>
      <c r="C437" s="187" t="str">
        <f t="shared" si="33"/>
        <v/>
      </c>
      <c r="D437" s="138" t="str">
        <f t="shared" si="34"/>
        <v/>
      </c>
      <c r="E437" s="150"/>
      <c r="F437" s="191" t="str">
        <f t="shared" si="35"/>
        <v/>
      </c>
      <c r="G437" s="185"/>
      <c r="H437" s="185"/>
      <c r="I437" s="185"/>
      <c r="K437" s="141" t="str">
        <f t="shared" si="36"/>
        <v/>
      </c>
      <c r="L437" s="141" t="str">
        <f t="shared" si="37"/>
        <v/>
      </c>
    </row>
    <row r="438" spans="1:12">
      <c r="A438" s="139" t="str">
        <f>IF(E438="","",VLOOKUP('Opći dio'!$C$3,'Opći dio'!$L$6:$U$136,10,FALSE))</f>
        <v/>
      </c>
      <c r="B438" s="139" t="str">
        <f>IF(E438="","",VLOOKUP('Opći dio'!$C$3,'Opći dio'!$L$6:$U$136,9,FALSE))</f>
        <v/>
      </c>
      <c r="C438" s="187" t="str">
        <f t="shared" si="33"/>
        <v/>
      </c>
      <c r="D438" s="138" t="str">
        <f t="shared" si="34"/>
        <v/>
      </c>
      <c r="E438" s="150"/>
      <c r="F438" s="191" t="str">
        <f t="shared" si="35"/>
        <v/>
      </c>
      <c r="G438" s="185"/>
      <c r="H438" s="185"/>
      <c r="I438" s="185"/>
      <c r="K438" s="141" t="str">
        <f t="shared" si="36"/>
        <v/>
      </c>
      <c r="L438" s="141" t="str">
        <f t="shared" si="37"/>
        <v/>
      </c>
    </row>
    <row r="439" spans="1:12">
      <c r="A439" s="139" t="str">
        <f>IF(E439="","",VLOOKUP('Opći dio'!$C$3,'Opći dio'!$L$6:$U$136,10,FALSE))</f>
        <v/>
      </c>
      <c r="B439" s="139" t="str">
        <f>IF(E439="","",VLOOKUP('Opći dio'!$C$3,'Opći dio'!$L$6:$U$136,9,FALSE))</f>
        <v/>
      </c>
      <c r="C439" s="187" t="str">
        <f t="shared" si="33"/>
        <v/>
      </c>
      <c r="D439" s="138" t="str">
        <f t="shared" si="34"/>
        <v/>
      </c>
      <c r="E439" s="150"/>
      <c r="F439" s="191" t="str">
        <f t="shared" si="35"/>
        <v/>
      </c>
      <c r="G439" s="185"/>
      <c r="H439" s="185"/>
      <c r="I439" s="185"/>
      <c r="K439" s="141" t="str">
        <f t="shared" si="36"/>
        <v/>
      </c>
      <c r="L439" s="141" t="str">
        <f t="shared" si="37"/>
        <v/>
      </c>
    </row>
    <row r="440" spans="1:12">
      <c r="A440" s="139" t="str">
        <f>IF(E440="","",VLOOKUP('Opći dio'!$C$3,'Opći dio'!$L$6:$U$136,10,FALSE))</f>
        <v/>
      </c>
      <c r="B440" s="139" t="str">
        <f>IF(E440="","",VLOOKUP('Opći dio'!$C$3,'Opći dio'!$L$6:$U$136,9,FALSE))</f>
        <v/>
      </c>
      <c r="C440" s="187" t="str">
        <f t="shared" si="33"/>
        <v/>
      </c>
      <c r="D440" s="138" t="str">
        <f t="shared" si="34"/>
        <v/>
      </c>
      <c r="E440" s="150"/>
      <c r="F440" s="191" t="str">
        <f t="shared" si="35"/>
        <v/>
      </c>
      <c r="G440" s="185"/>
      <c r="H440" s="185"/>
      <c r="I440" s="185"/>
      <c r="K440" s="141" t="str">
        <f t="shared" si="36"/>
        <v/>
      </c>
      <c r="L440" s="141" t="str">
        <f t="shared" si="37"/>
        <v/>
      </c>
    </row>
    <row r="441" spans="1:12">
      <c r="A441" s="139" t="str">
        <f>IF(E441="","",VLOOKUP('Opći dio'!$C$3,'Opći dio'!$L$6:$U$136,10,FALSE))</f>
        <v/>
      </c>
      <c r="B441" s="139" t="str">
        <f>IF(E441="","",VLOOKUP('Opći dio'!$C$3,'Opći dio'!$L$6:$U$136,9,FALSE))</f>
        <v/>
      </c>
      <c r="C441" s="187" t="str">
        <f t="shared" si="33"/>
        <v/>
      </c>
      <c r="D441" s="138" t="str">
        <f t="shared" si="34"/>
        <v/>
      </c>
      <c r="E441" s="150"/>
      <c r="F441" s="191" t="str">
        <f t="shared" si="35"/>
        <v/>
      </c>
      <c r="G441" s="185"/>
      <c r="H441" s="185"/>
      <c r="I441" s="185"/>
      <c r="K441" s="141" t="str">
        <f t="shared" si="36"/>
        <v/>
      </c>
      <c r="L441" s="141" t="str">
        <f t="shared" si="37"/>
        <v/>
      </c>
    </row>
    <row r="442" spans="1:12">
      <c r="A442" s="139" t="str">
        <f>IF(E442="","",VLOOKUP('Opći dio'!$C$3,'Opći dio'!$L$6:$U$136,10,FALSE))</f>
        <v/>
      </c>
      <c r="B442" s="139" t="str">
        <f>IF(E442="","",VLOOKUP('Opći dio'!$C$3,'Opći dio'!$L$6:$U$136,9,FALSE))</f>
        <v/>
      </c>
      <c r="C442" s="187" t="str">
        <f t="shared" si="33"/>
        <v/>
      </c>
      <c r="D442" s="138" t="str">
        <f t="shared" si="34"/>
        <v/>
      </c>
      <c r="E442" s="150"/>
      <c r="F442" s="191" t="str">
        <f t="shared" si="35"/>
        <v/>
      </c>
      <c r="G442" s="185"/>
      <c r="H442" s="185"/>
      <c r="I442" s="185"/>
      <c r="K442" s="141" t="str">
        <f t="shared" si="36"/>
        <v/>
      </c>
      <c r="L442" s="141" t="str">
        <f t="shared" si="37"/>
        <v/>
      </c>
    </row>
    <row r="443" spans="1:12">
      <c r="A443" s="139" t="str">
        <f>IF(E443="","",VLOOKUP('Opći dio'!$C$3,'Opći dio'!$L$6:$U$136,10,FALSE))</f>
        <v/>
      </c>
      <c r="B443" s="139" t="str">
        <f>IF(E443="","",VLOOKUP('Opći dio'!$C$3,'Opći dio'!$L$6:$U$136,9,FALSE))</f>
        <v/>
      </c>
      <c r="C443" s="187" t="str">
        <f t="shared" si="33"/>
        <v/>
      </c>
      <c r="D443" s="138" t="str">
        <f t="shared" si="34"/>
        <v/>
      </c>
      <c r="E443" s="150"/>
      <c r="F443" s="191" t="str">
        <f t="shared" si="35"/>
        <v/>
      </c>
      <c r="G443" s="185"/>
      <c r="H443" s="185"/>
      <c r="I443" s="185"/>
      <c r="K443" s="141" t="str">
        <f t="shared" si="36"/>
        <v/>
      </c>
      <c r="L443" s="141" t="str">
        <f t="shared" si="37"/>
        <v/>
      </c>
    </row>
    <row r="444" spans="1:12">
      <c r="A444" s="139" t="str">
        <f>IF(E444="","",VLOOKUP('Opći dio'!$C$3,'Opći dio'!$L$6:$U$136,10,FALSE))</f>
        <v/>
      </c>
      <c r="B444" s="139" t="str">
        <f>IF(E444="","",VLOOKUP('Opći dio'!$C$3,'Opći dio'!$L$6:$U$136,9,FALSE))</f>
        <v/>
      </c>
      <c r="C444" s="187" t="str">
        <f t="shared" si="33"/>
        <v/>
      </c>
      <c r="D444" s="138" t="str">
        <f t="shared" si="34"/>
        <v/>
      </c>
      <c r="E444" s="150"/>
      <c r="F444" s="191" t="str">
        <f t="shared" si="35"/>
        <v/>
      </c>
      <c r="G444" s="185"/>
      <c r="H444" s="185"/>
      <c r="I444" s="185"/>
      <c r="K444" s="141" t="str">
        <f t="shared" si="36"/>
        <v/>
      </c>
      <c r="L444" s="141" t="str">
        <f t="shared" si="37"/>
        <v/>
      </c>
    </row>
    <row r="445" spans="1:12">
      <c r="A445" s="139" t="str">
        <f>IF(E445="","",VLOOKUP('Opći dio'!$C$3,'Opći dio'!$L$6:$U$136,10,FALSE))</f>
        <v/>
      </c>
      <c r="B445" s="139" t="str">
        <f>IF(E445="","",VLOOKUP('Opći dio'!$C$3,'Opći dio'!$L$6:$U$136,9,FALSE))</f>
        <v/>
      </c>
      <c r="C445" s="187" t="str">
        <f t="shared" si="33"/>
        <v/>
      </c>
      <c r="D445" s="138" t="str">
        <f t="shared" si="34"/>
        <v/>
      </c>
      <c r="E445" s="150"/>
      <c r="F445" s="191" t="str">
        <f t="shared" si="35"/>
        <v/>
      </c>
      <c r="G445" s="185"/>
      <c r="H445" s="185"/>
      <c r="I445" s="185"/>
      <c r="K445" s="141" t="str">
        <f t="shared" si="36"/>
        <v/>
      </c>
      <c r="L445" s="141" t="str">
        <f t="shared" si="37"/>
        <v/>
      </c>
    </row>
    <row r="446" spans="1:12">
      <c r="A446" s="139" t="str">
        <f>IF(E446="","",VLOOKUP('Opći dio'!$C$3,'Opći dio'!$L$6:$U$136,10,FALSE))</f>
        <v/>
      </c>
      <c r="B446" s="139" t="str">
        <f>IF(E446="","",VLOOKUP('Opći dio'!$C$3,'Opći dio'!$L$6:$U$136,9,FALSE))</f>
        <v/>
      </c>
      <c r="C446" s="187" t="str">
        <f t="shared" si="33"/>
        <v/>
      </c>
      <c r="D446" s="138" t="str">
        <f t="shared" si="34"/>
        <v/>
      </c>
      <c r="E446" s="150"/>
      <c r="F446" s="191" t="str">
        <f t="shared" si="35"/>
        <v/>
      </c>
      <c r="G446" s="185"/>
      <c r="H446" s="185"/>
      <c r="I446" s="185"/>
      <c r="K446" s="141" t="str">
        <f t="shared" si="36"/>
        <v/>
      </c>
      <c r="L446" s="141" t="str">
        <f t="shared" si="37"/>
        <v/>
      </c>
    </row>
    <row r="447" spans="1:12">
      <c r="A447" s="139" t="str">
        <f>IF(E447="","",VLOOKUP('Opći dio'!$C$3,'Opći dio'!$L$6:$U$136,10,FALSE))</f>
        <v/>
      </c>
      <c r="B447" s="139" t="str">
        <f>IF(E447="","",VLOOKUP('Opći dio'!$C$3,'Opći dio'!$L$6:$U$136,9,FALSE))</f>
        <v/>
      </c>
      <c r="C447" s="187" t="str">
        <f t="shared" si="33"/>
        <v/>
      </c>
      <c r="D447" s="138" t="str">
        <f t="shared" si="34"/>
        <v/>
      </c>
      <c r="E447" s="150"/>
      <c r="F447" s="191" t="str">
        <f t="shared" si="35"/>
        <v/>
      </c>
      <c r="G447" s="185"/>
      <c r="H447" s="185"/>
      <c r="I447" s="185"/>
      <c r="K447" s="141" t="str">
        <f t="shared" si="36"/>
        <v/>
      </c>
      <c r="L447" s="141" t="str">
        <f t="shared" si="37"/>
        <v/>
      </c>
    </row>
    <row r="448" spans="1:12">
      <c r="A448" s="139" t="str">
        <f>IF(E448="","",VLOOKUP('Opći dio'!$C$3,'Opći dio'!$L$6:$U$136,10,FALSE))</f>
        <v/>
      </c>
      <c r="B448" s="139" t="str">
        <f>IF(E448="","",VLOOKUP('Opći dio'!$C$3,'Opći dio'!$L$6:$U$136,9,FALSE))</f>
        <v/>
      </c>
      <c r="C448" s="187" t="str">
        <f t="shared" si="33"/>
        <v/>
      </c>
      <c r="D448" s="138" t="str">
        <f t="shared" si="34"/>
        <v/>
      </c>
      <c r="E448" s="150"/>
      <c r="F448" s="191" t="str">
        <f t="shared" si="35"/>
        <v/>
      </c>
      <c r="G448" s="185"/>
      <c r="H448" s="185"/>
      <c r="I448" s="185"/>
      <c r="K448" s="141" t="str">
        <f t="shared" si="36"/>
        <v/>
      </c>
      <c r="L448" s="141" t="str">
        <f t="shared" si="37"/>
        <v/>
      </c>
    </row>
    <row r="449" spans="1:12">
      <c r="A449" s="139" t="str">
        <f>IF(E449="","",VLOOKUP('Opći dio'!$C$3,'Opći dio'!$L$6:$U$136,10,FALSE))</f>
        <v/>
      </c>
      <c r="B449" s="139" t="str">
        <f>IF(E449="","",VLOOKUP('Opći dio'!$C$3,'Opći dio'!$L$6:$U$136,9,FALSE))</f>
        <v/>
      </c>
      <c r="C449" s="187" t="str">
        <f t="shared" si="33"/>
        <v/>
      </c>
      <c r="D449" s="138" t="str">
        <f t="shared" si="34"/>
        <v/>
      </c>
      <c r="E449" s="150"/>
      <c r="F449" s="191" t="str">
        <f t="shared" si="35"/>
        <v/>
      </c>
      <c r="G449" s="185"/>
      <c r="H449" s="185"/>
      <c r="I449" s="185"/>
      <c r="K449" s="141" t="str">
        <f t="shared" si="36"/>
        <v/>
      </c>
      <c r="L449" s="141" t="str">
        <f t="shared" si="37"/>
        <v/>
      </c>
    </row>
    <row r="450" spans="1:12">
      <c r="A450" s="139" t="str">
        <f>IF(E450="","",VLOOKUP('Opći dio'!$C$3,'Opći dio'!$L$6:$U$136,10,FALSE))</f>
        <v/>
      </c>
      <c r="B450" s="139" t="str">
        <f>IF(E450="","",VLOOKUP('Opći dio'!$C$3,'Opći dio'!$L$6:$U$136,9,FALSE))</f>
        <v/>
      </c>
      <c r="C450" s="187" t="str">
        <f t="shared" si="33"/>
        <v/>
      </c>
      <c r="D450" s="138" t="str">
        <f t="shared" si="34"/>
        <v/>
      </c>
      <c r="E450" s="150"/>
      <c r="F450" s="191" t="str">
        <f t="shared" si="35"/>
        <v/>
      </c>
      <c r="G450" s="185"/>
      <c r="H450" s="185"/>
      <c r="I450" s="185"/>
      <c r="K450" s="141" t="str">
        <f t="shared" si="36"/>
        <v/>
      </c>
      <c r="L450" s="141" t="str">
        <f t="shared" si="37"/>
        <v/>
      </c>
    </row>
    <row r="451" spans="1:12">
      <c r="A451" s="139" t="str">
        <f>IF(E451="","",VLOOKUP('Opći dio'!$C$3,'Opći dio'!$L$6:$U$136,10,FALSE))</f>
        <v/>
      </c>
      <c r="B451" s="139" t="str">
        <f>IF(E451="","",VLOOKUP('Opći dio'!$C$3,'Opći dio'!$L$6:$U$136,9,FALSE))</f>
        <v/>
      </c>
      <c r="C451" s="187" t="str">
        <f t="shared" si="33"/>
        <v/>
      </c>
      <c r="D451" s="138" t="str">
        <f t="shared" si="34"/>
        <v/>
      </c>
      <c r="E451" s="150"/>
      <c r="F451" s="191" t="str">
        <f t="shared" si="35"/>
        <v/>
      </c>
      <c r="G451" s="185"/>
      <c r="H451" s="185"/>
      <c r="I451" s="185"/>
      <c r="K451" s="141" t="str">
        <f t="shared" si="36"/>
        <v/>
      </c>
      <c r="L451" s="141" t="str">
        <f t="shared" si="37"/>
        <v/>
      </c>
    </row>
    <row r="452" spans="1:12">
      <c r="A452" s="139" t="str">
        <f>IF(E452="","",VLOOKUP('Opći dio'!$C$3,'Opći dio'!$L$6:$U$136,10,FALSE))</f>
        <v/>
      </c>
      <c r="B452" s="139" t="str">
        <f>IF(E452="","",VLOOKUP('Opći dio'!$C$3,'Opći dio'!$L$6:$U$136,9,FALSE))</f>
        <v/>
      </c>
      <c r="C452" s="187" t="str">
        <f t="shared" ref="C452:C501" si="38">IFERROR(VLOOKUP(E452,$Q$6:$T$200,3,FALSE),"")</f>
        <v/>
      </c>
      <c r="D452" s="138" t="str">
        <f t="shared" ref="D452:D501" si="39">IFERROR(VLOOKUP(E452,$Q$6:$T$200,4,FALSE),"")</f>
        <v/>
      </c>
      <c r="E452" s="150"/>
      <c r="F452" s="191" t="str">
        <f t="shared" ref="F452:F501" si="40">IFERROR(VLOOKUP(E452,$Q$6:$T$200,2,FALSE),"")</f>
        <v/>
      </c>
      <c r="G452" s="185"/>
      <c r="H452" s="185"/>
      <c r="I452" s="185"/>
      <c r="K452" s="141" t="str">
        <f t="shared" ref="K452:K501" si="41">LEFT(E452,3)</f>
        <v/>
      </c>
      <c r="L452" s="141" t="str">
        <f t="shared" ref="L452:L501" si="42">LEFT(E452,2)</f>
        <v/>
      </c>
    </row>
    <row r="453" spans="1:12">
      <c r="A453" s="139" t="str">
        <f>IF(E453="","",VLOOKUP('Opći dio'!$C$3,'Opći dio'!$L$6:$U$136,10,FALSE))</f>
        <v/>
      </c>
      <c r="B453" s="139" t="str">
        <f>IF(E453="","",VLOOKUP('Opći dio'!$C$3,'Opći dio'!$L$6:$U$136,9,FALSE))</f>
        <v/>
      </c>
      <c r="C453" s="187" t="str">
        <f t="shared" si="38"/>
        <v/>
      </c>
      <c r="D453" s="138" t="str">
        <f t="shared" si="39"/>
        <v/>
      </c>
      <c r="E453" s="150"/>
      <c r="F453" s="191" t="str">
        <f t="shared" si="40"/>
        <v/>
      </c>
      <c r="G453" s="185"/>
      <c r="H453" s="185"/>
      <c r="I453" s="185"/>
      <c r="K453" s="141" t="str">
        <f t="shared" si="41"/>
        <v/>
      </c>
      <c r="L453" s="141" t="str">
        <f t="shared" si="42"/>
        <v/>
      </c>
    </row>
    <row r="454" spans="1:12">
      <c r="A454" s="139" t="str">
        <f>IF(E454="","",VLOOKUP('Opći dio'!$C$3,'Opći dio'!$L$6:$U$136,10,FALSE))</f>
        <v/>
      </c>
      <c r="B454" s="139" t="str">
        <f>IF(E454="","",VLOOKUP('Opći dio'!$C$3,'Opći dio'!$L$6:$U$136,9,FALSE))</f>
        <v/>
      </c>
      <c r="C454" s="187" t="str">
        <f t="shared" si="38"/>
        <v/>
      </c>
      <c r="D454" s="138" t="str">
        <f t="shared" si="39"/>
        <v/>
      </c>
      <c r="E454" s="150"/>
      <c r="F454" s="191" t="str">
        <f t="shared" si="40"/>
        <v/>
      </c>
      <c r="G454" s="185"/>
      <c r="H454" s="185"/>
      <c r="I454" s="185"/>
      <c r="K454" s="141" t="str">
        <f t="shared" si="41"/>
        <v/>
      </c>
      <c r="L454" s="141" t="str">
        <f t="shared" si="42"/>
        <v/>
      </c>
    </row>
    <row r="455" spans="1:12">
      <c r="A455" s="139" t="str">
        <f>IF(E455="","",VLOOKUP('Opći dio'!$C$3,'Opći dio'!$L$6:$U$136,10,FALSE))</f>
        <v/>
      </c>
      <c r="B455" s="139" t="str">
        <f>IF(E455="","",VLOOKUP('Opći dio'!$C$3,'Opći dio'!$L$6:$U$136,9,FALSE))</f>
        <v/>
      </c>
      <c r="C455" s="187" t="str">
        <f t="shared" si="38"/>
        <v/>
      </c>
      <c r="D455" s="138" t="str">
        <f t="shared" si="39"/>
        <v/>
      </c>
      <c r="E455" s="150"/>
      <c r="F455" s="191" t="str">
        <f t="shared" si="40"/>
        <v/>
      </c>
      <c r="G455" s="185"/>
      <c r="H455" s="185"/>
      <c r="I455" s="185"/>
      <c r="K455" s="141" t="str">
        <f t="shared" si="41"/>
        <v/>
      </c>
      <c r="L455" s="141" t="str">
        <f t="shared" si="42"/>
        <v/>
      </c>
    </row>
    <row r="456" spans="1:12">
      <c r="A456" s="139" t="str">
        <f>IF(E456="","",VLOOKUP('Opći dio'!$C$3,'Opći dio'!$L$6:$U$136,10,FALSE))</f>
        <v/>
      </c>
      <c r="B456" s="139" t="str">
        <f>IF(E456="","",VLOOKUP('Opći dio'!$C$3,'Opći dio'!$L$6:$U$136,9,FALSE))</f>
        <v/>
      </c>
      <c r="C456" s="187" t="str">
        <f t="shared" si="38"/>
        <v/>
      </c>
      <c r="D456" s="138" t="str">
        <f t="shared" si="39"/>
        <v/>
      </c>
      <c r="E456" s="150"/>
      <c r="F456" s="191" t="str">
        <f t="shared" si="40"/>
        <v/>
      </c>
      <c r="G456" s="185"/>
      <c r="H456" s="185"/>
      <c r="I456" s="185"/>
      <c r="K456" s="141" t="str">
        <f t="shared" si="41"/>
        <v/>
      </c>
      <c r="L456" s="141" t="str">
        <f t="shared" si="42"/>
        <v/>
      </c>
    </row>
    <row r="457" spans="1:12">
      <c r="A457" s="139" t="str">
        <f>IF(E457="","",VLOOKUP('Opći dio'!$C$3,'Opći dio'!$L$6:$U$136,10,FALSE))</f>
        <v/>
      </c>
      <c r="B457" s="139" t="str">
        <f>IF(E457="","",VLOOKUP('Opći dio'!$C$3,'Opći dio'!$L$6:$U$136,9,FALSE))</f>
        <v/>
      </c>
      <c r="C457" s="187" t="str">
        <f t="shared" si="38"/>
        <v/>
      </c>
      <c r="D457" s="138" t="str">
        <f t="shared" si="39"/>
        <v/>
      </c>
      <c r="E457" s="150"/>
      <c r="F457" s="191" t="str">
        <f t="shared" si="40"/>
        <v/>
      </c>
      <c r="G457" s="185"/>
      <c r="H457" s="185"/>
      <c r="I457" s="185"/>
      <c r="K457" s="141" t="str">
        <f t="shared" si="41"/>
        <v/>
      </c>
      <c r="L457" s="141" t="str">
        <f t="shared" si="42"/>
        <v/>
      </c>
    </row>
    <row r="458" spans="1:12">
      <c r="A458" s="139" t="str">
        <f>IF(E458="","",VLOOKUP('Opći dio'!$C$3,'Opći dio'!$L$6:$U$136,10,FALSE))</f>
        <v/>
      </c>
      <c r="B458" s="139" t="str">
        <f>IF(E458="","",VLOOKUP('Opći dio'!$C$3,'Opći dio'!$L$6:$U$136,9,FALSE))</f>
        <v/>
      </c>
      <c r="C458" s="187" t="str">
        <f t="shared" si="38"/>
        <v/>
      </c>
      <c r="D458" s="138" t="str">
        <f t="shared" si="39"/>
        <v/>
      </c>
      <c r="E458" s="150"/>
      <c r="F458" s="191" t="str">
        <f t="shared" si="40"/>
        <v/>
      </c>
      <c r="G458" s="185"/>
      <c r="H458" s="185"/>
      <c r="I458" s="185"/>
      <c r="K458" s="141" t="str">
        <f t="shared" si="41"/>
        <v/>
      </c>
      <c r="L458" s="141" t="str">
        <f t="shared" si="42"/>
        <v/>
      </c>
    </row>
    <row r="459" spans="1:12">
      <c r="A459" s="139" t="str">
        <f>IF(E459="","",VLOOKUP('Opći dio'!$C$3,'Opći dio'!$L$6:$U$136,10,FALSE))</f>
        <v/>
      </c>
      <c r="B459" s="139" t="str">
        <f>IF(E459="","",VLOOKUP('Opći dio'!$C$3,'Opći dio'!$L$6:$U$136,9,FALSE))</f>
        <v/>
      </c>
      <c r="C459" s="187" t="str">
        <f t="shared" si="38"/>
        <v/>
      </c>
      <c r="D459" s="138" t="str">
        <f t="shared" si="39"/>
        <v/>
      </c>
      <c r="E459" s="150"/>
      <c r="F459" s="191" t="str">
        <f t="shared" si="40"/>
        <v/>
      </c>
      <c r="G459" s="185"/>
      <c r="H459" s="185"/>
      <c r="I459" s="185"/>
      <c r="K459" s="141" t="str">
        <f t="shared" si="41"/>
        <v/>
      </c>
      <c r="L459" s="141" t="str">
        <f t="shared" si="42"/>
        <v/>
      </c>
    </row>
    <row r="460" spans="1:12">
      <c r="A460" s="139" t="str">
        <f>IF(E460="","",VLOOKUP('Opći dio'!$C$3,'Opći dio'!$L$6:$U$136,10,FALSE))</f>
        <v/>
      </c>
      <c r="B460" s="139" t="str">
        <f>IF(E460="","",VLOOKUP('Opći dio'!$C$3,'Opći dio'!$L$6:$U$136,9,FALSE))</f>
        <v/>
      </c>
      <c r="C460" s="187" t="str">
        <f t="shared" si="38"/>
        <v/>
      </c>
      <c r="D460" s="138" t="str">
        <f t="shared" si="39"/>
        <v/>
      </c>
      <c r="E460" s="150"/>
      <c r="F460" s="191" t="str">
        <f t="shared" si="40"/>
        <v/>
      </c>
      <c r="G460" s="185"/>
      <c r="H460" s="185"/>
      <c r="I460" s="185"/>
      <c r="K460" s="141" t="str">
        <f t="shared" si="41"/>
        <v/>
      </c>
      <c r="L460" s="141" t="str">
        <f t="shared" si="42"/>
        <v/>
      </c>
    </row>
    <row r="461" spans="1:12">
      <c r="A461" s="139" t="str">
        <f>IF(E461="","",VLOOKUP('Opći dio'!$C$3,'Opći dio'!$L$6:$U$136,10,FALSE))</f>
        <v/>
      </c>
      <c r="B461" s="139" t="str">
        <f>IF(E461="","",VLOOKUP('Opći dio'!$C$3,'Opći dio'!$L$6:$U$136,9,FALSE))</f>
        <v/>
      </c>
      <c r="C461" s="187" t="str">
        <f t="shared" si="38"/>
        <v/>
      </c>
      <c r="D461" s="138" t="str">
        <f t="shared" si="39"/>
        <v/>
      </c>
      <c r="E461" s="150"/>
      <c r="F461" s="191" t="str">
        <f t="shared" si="40"/>
        <v/>
      </c>
      <c r="G461" s="185"/>
      <c r="H461" s="185"/>
      <c r="I461" s="185"/>
      <c r="K461" s="141" t="str">
        <f t="shared" si="41"/>
        <v/>
      </c>
      <c r="L461" s="141" t="str">
        <f t="shared" si="42"/>
        <v/>
      </c>
    </row>
    <row r="462" spans="1:12">
      <c r="A462" s="139" t="str">
        <f>IF(E462="","",VLOOKUP('Opći dio'!$C$3,'Opći dio'!$L$6:$U$136,10,FALSE))</f>
        <v/>
      </c>
      <c r="B462" s="139" t="str">
        <f>IF(E462="","",VLOOKUP('Opći dio'!$C$3,'Opći dio'!$L$6:$U$136,9,FALSE))</f>
        <v/>
      </c>
      <c r="C462" s="187" t="str">
        <f t="shared" si="38"/>
        <v/>
      </c>
      <c r="D462" s="138" t="str">
        <f t="shared" si="39"/>
        <v/>
      </c>
      <c r="E462" s="150"/>
      <c r="F462" s="191" t="str">
        <f t="shared" si="40"/>
        <v/>
      </c>
      <c r="G462" s="185"/>
      <c r="H462" s="185"/>
      <c r="I462" s="185"/>
      <c r="K462" s="141" t="str">
        <f t="shared" si="41"/>
        <v/>
      </c>
      <c r="L462" s="141" t="str">
        <f t="shared" si="42"/>
        <v/>
      </c>
    </row>
    <row r="463" spans="1:12">
      <c r="A463" s="139" t="str">
        <f>IF(E463="","",VLOOKUP('Opći dio'!$C$3,'Opći dio'!$L$6:$U$136,10,FALSE))</f>
        <v/>
      </c>
      <c r="B463" s="139" t="str">
        <f>IF(E463="","",VLOOKUP('Opći dio'!$C$3,'Opći dio'!$L$6:$U$136,9,FALSE))</f>
        <v/>
      </c>
      <c r="C463" s="187" t="str">
        <f t="shared" si="38"/>
        <v/>
      </c>
      <c r="D463" s="138" t="str">
        <f t="shared" si="39"/>
        <v/>
      </c>
      <c r="E463" s="150"/>
      <c r="F463" s="191" t="str">
        <f t="shared" si="40"/>
        <v/>
      </c>
      <c r="G463" s="185"/>
      <c r="H463" s="185"/>
      <c r="I463" s="185"/>
      <c r="K463" s="141" t="str">
        <f t="shared" si="41"/>
        <v/>
      </c>
      <c r="L463" s="141" t="str">
        <f t="shared" si="42"/>
        <v/>
      </c>
    </row>
    <row r="464" spans="1:12">
      <c r="A464" s="139" t="str">
        <f>IF(E464="","",VLOOKUP('Opći dio'!$C$3,'Opći dio'!$L$6:$U$136,10,FALSE))</f>
        <v/>
      </c>
      <c r="B464" s="139" t="str">
        <f>IF(E464="","",VLOOKUP('Opći dio'!$C$3,'Opći dio'!$L$6:$U$136,9,FALSE))</f>
        <v/>
      </c>
      <c r="C464" s="187" t="str">
        <f t="shared" si="38"/>
        <v/>
      </c>
      <c r="D464" s="138" t="str">
        <f t="shared" si="39"/>
        <v/>
      </c>
      <c r="E464" s="150"/>
      <c r="F464" s="191" t="str">
        <f t="shared" si="40"/>
        <v/>
      </c>
      <c r="G464" s="185"/>
      <c r="H464" s="185"/>
      <c r="I464" s="185"/>
      <c r="K464" s="141" t="str">
        <f t="shared" si="41"/>
        <v/>
      </c>
      <c r="L464" s="141" t="str">
        <f t="shared" si="42"/>
        <v/>
      </c>
    </row>
    <row r="465" spans="1:12">
      <c r="A465" s="139" t="str">
        <f>IF(E465="","",VLOOKUP('Opći dio'!$C$3,'Opći dio'!$L$6:$U$136,10,FALSE))</f>
        <v/>
      </c>
      <c r="B465" s="139" t="str">
        <f>IF(E465="","",VLOOKUP('Opći dio'!$C$3,'Opći dio'!$L$6:$U$136,9,FALSE))</f>
        <v/>
      </c>
      <c r="C465" s="187" t="str">
        <f t="shared" si="38"/>
        <v/>
      </c>
      <c r="D465" s="138" t="str">
        <f t="shared" si="39"/>
        <v/>
      </c>
      <c r="E465" s="150"/>
      <c r="F465" s="191" t="str">
        <f t="shared" si="40"/>
        <v/>
      </c>
      <c r="G465" s="185"/>
      <c r="H465" s="185"/>
      <c r="I465" s="185"/>
      <c r="K465" s="141" t="str">
        <f t="shared" si="41"/>
        <v/>
      </c>
      <c r="L465" s="141" t="str">
        <f t="shared" si="42"/>
        <v/>
      </c>
    </row>
    <row r="466" spans="1:12">
      <c r="A466" s="139" t="str">
        <f>IF(E466="","",VLOOKUP('Opći dio'!$C$3,'Opći dio'!$L$6:$U$136,10,FALSE))</f>
        <v/>
      </c>
      <c r="B466" s="139" t="str">
        <f>IF(E466="","",VLOOKUP('Opći dio'!$C$3,'Opći dio'!$L$6:$U$136,9,FALSE))</f>
        <v/>
      </c>
      <c r="C466" s="187" t="str">
        <f t="shared" si="38"/>
        <v/>
      </c>
      <c r="D466" s="138" t="str">
        <f t="shared" si="39"/>
        <v/>
      </c>
      <c r="E466" s="150"/>
      <c r="F466" s="191" t="str">
        <f t="shared" si="40"/>
        <v/>
      </c>
      <c r="G466" s="185"/>
      <c r="H466" s="185"/>
      <c r="I466" s="185"/>
      <c r="K466" s="141" t="str">
        <f t="shared" si="41"/>
        <v/>
      </c>
      <c r="L466" s="141" t="str">
        <f t="shared" si="42"/>
        <v/>
      </c>
    </row>
    <row r="467" spans="1:12">
      <c r="A467" s="139" t="str">
        <f>IF(E467="","",VLOOKUP('Opći dio'!$C$3,'Opći dio'!$L$6:$U$136,10,FALSE))</f>
        <v/>
      </c>
      <c r="B467" s="139" t="str">
        <f>IF(E467="","",VLOOKUP('Opći dio'!$C$3,'Opći dio'!$L$6:$U$136,9,FALSE))</f>
        <v/>
      </c>
      <c r="C467" s="187" t="str">
        <f t="shared" si="38"/>
        <v/>
      </c>
      <c r="D467" s="138" t="str">
        <f t="shared" si="39"/>
        <v/>
      </c>
      <c r="E467" s="150"/>
      <c r="F467" s="191" t="str">
        <f t="shared" si="40"/>
        <v/>
      </c>
      <c r="G467" s="185"/>
      <c r="H467" s="185"/>
      <c r="I467" s="185"/>
      <c r="K467" s="141" t="str">
        <f t="shared" si="41"/>
        <v/>
      </c>
      <c r="L467" s="141" t="str">
        <f t="shared" si="42"/>
        <v/>
      </c>
    </row>
    <row r="468" spans="1:12">
      <c r="A468" s="139" t="str">
        <f>IF(E468="","",VLOOKUP('Opći dio'!$C$3,'Opći dio'!$L$6:$U$136,10,FALSE))</f>
        <v/>
      </c>
      <c r="B468" s="139" t="str">
        <f>IF(E468="","",VLOOKUP('Opći dio'!$C$3,'Opći dio'!$L$6:$U$136,9,FALSE))</f>
        <v/>
      </c>
      <c r="C468" s="187" t="str">
        <f t="shared" si="38"/>
        <v/>
      </c>
      <c r="D468" s="138" t="str">
        <f t="shared" si="39"/>
        <v/>
      </c>
      <c r="E468" s="150"/>
      <c r="F468" s="191" t="str">
        <f t="shared" si="40"/>
        <v/>
      </c>
      <c r="G468" s="185"/>
      <c r="H468" s="185"/>
      <c r="I468" s="185"/>
      <c r="K468" s="141" t="str">
        <f t="shared" si="41"/>
        <v/>
      </c>
      <c r="L468" s="141" t="str">
        <f t="shared" si="42"/>
        <v/>
      </c>
    </row>
    <row r="469" spans="1:12">
      <c r="A469" s="139" t="str">
        <f>IF(E469="","",VLOOKUP('Opći dio'!$C$3,'Opći dio'!$L$6:$U$136,10,FALSE))</f>
        <v/>
      </c>
      <c r="B469" s="139" t="str">
        <f>IF(E469="","",VLOOKUP('Opći dio'!$C$3,'Opći dio'!$L$6:$U$136,9,FALSE))</f>
        <v/>
      </c>
      <c r="C469" s="187" t="str">
        <f t="shared" si="38"/>
        <v/>
      </c>
      <c r="D469" s="138" t="str">
        <f t="shared" si="39"/>
        <v/>
      </c>
      <c r="E469" s="150"/>
      <c r="F469" s="191" t="str">
        <f t="shared" si="40"/>
        <v/>
      </c>
      <c r="G469" s="185"/>
      <c r="H469" s="185"/>
      <c r="I469" s="185"/>
      <c r="K469" s="141" t="str">
        <f t="shared" si="41"/>
        <v/>
      </c>
      <c r="L469" s="141" t="str">
        <f t="shared" si="42"/>
        <v/>
      </c>
    </row>
    <row r="470" spans="1:12">
      <c r="A470" s="139" t="str">
        <f>IF(E470="","",VLOOKUP('Opći dio'!$C$3,'Opći dio'!$L$6:$U$136,10,FALSE))</f>
        <v/>
      </c>
      <c r="B470" s="139" t="str">
        <f>IF(E470="","",VLOOKUP('Opći dio'!$C$3,'Opći dio'!$L$6:$U$136,9,FALSE))</f>
        <v/>
      </c>
      <c r="C470" s="187" t="str">
        <f t="shared" si="38"/>
        <v/>
      </c>
      <c r="D470" s="138" t="str">
        <f t="shared" si="39"/>
        <v/>
      </c>
      <c r="E470" s="150"/>
      <c r="F470" s="191" t="str">
        <f t="shared" si="40"/>
        <v/>
      </c>
      <c r="G470" s="185"/>
      <c r="H470" s="185"/>
      <c r="I470" s="185"/>
      <c r="K470" s="141" t="str">
        <f t="shared" si="41"/>
        <v/>
      </c>
      <c r="L470" s="141" t="str">
        <f t="shared" si="42"/>
        <v/>
      </c>
    </row>
    <row r="471" spans="1:12">
      <c r="A471" s="139" t="str">
        <f>IF(E471="","",VLOOKUP('Opći dio'!$C$3,'Opći dio'!$L$6:$U$136,10,FALSE))</f>
        <v/>
      </c>
      <c r="B471" s="139" t="str">
        <f>IF(E471="","",VLOOKUP('Opći dio'!$C$3,'Opći dio'!$L$6:$U$136,9,FALSE))</f>
        <v/>
      </c>
      <c r="C471" s="187" t="str">
        <f t="shared" si="38"/>
        <v/>
      </c>
      <c r="D471" s="138" t="str">
        <f t="shared" si="39"/>
        <v/>
      </c>
      <c r="E471" s="150"/>
      <c r="F471" s="191" t="str">
        <f t="shared" si="40"/>
        <v/>
      </c>
      <c r="G471" s="185"/>
      <c r="H471" s="185"/>
      <c r="I471" s="185"/>
      <c r="K471" s="141" t="str">
        <f t="shared" si="41"/>
        <v/>
      </c>
      <c r="L471" s="141" t="str">
        <f t="shared" si="42"/>
        <v/>
      </c>
    </row>
    <row r="472" spans="1:12">
      <c r="A472" s="139" t="str">
        <f>IF(E472="","",VLOOKUP('Opći dio'!$C$3,'Opći dio'!$L$6:$U$136,10,FALSE))</f>
        <v/>
      </c>
      <c r="B472" s="139" t="str">
        <f>IF(E472="","",VLOOKUP('Opći dio'!$C$3,'Opći dio'!$L$6:$U$136,9,FALSE))</f>
        <v/>
      </c>
      <c r="C472" s="187" t="str">
        <f t="shared" si="38"/>
        <v/>
      </c>
      <c r="D472" s="138" t="str">
        <f t="shared" si="39"/>
        <v/>
      </c>
      <c r="E472" s="150"/>
      <c r="F472" s="191" t="str">
        <f t="shared" si="40"/>
        <v/>
      </c>
      <c r="G472" s="185"/>
      <c r="H472" s="185"/>
      <c r="I472" s="185"/>
      <c r="K472" s="141" t="str">
        <f t="shared" si="41"/>
        <v/>
      </c>
      <c r="L472" s="141" t="str">
        <f t="shared" si="42"/>
        <v/>
      </c>
    </row>
    <row r="473" spans="1:12">
      <c r="A473" s="139" t="str">
        <f>IF(E473="","",VLOOKUP('Opći dio'!$C$3,'Opći dio'!$L$6:$U$136,10,FALSE))</f>
        <v/>
      </c>
      <c r="B473" s="139" t="str">
        <f>IF(E473="","",VLOOKUP('Opći dio'!$C$3,'Opći dio'!$L$6:$U$136,9,FALSE))</f>
        <v/>
      </c>
      <c r="C473" s="187" t="str">
        <f t="shared" si="38"/>
        <v/>
      </c>
      <c r="D473" s="138" t="str">
        <f t="shared" si="39"/>
        <v/>
      </c>
      <c r="E473" s="150"/>
      <c r="F473" s="191" t="str">
        <f t="shared" si="40"/>
        <v/>
      </c>
      <c r="G473" s="185"/>
      <c r="H473" s="185"/>
      <c r="I473" s="185"/>
      <c r="K473" s="141" t="str">
        <f t="shared" si="41"/>
        <v/>
      </c>
      <c r="L473" s="141" t="str">
        <f t="shared" si="42"/>
        <v/>
      </c>
    </row>
    <row r="474" spans="1:12">
      <c r="A474" s="139" t="str">
        <f>IF(E474="","",VLOOKUP('Opći dio'!$C$3,'Opći dio'!$L$6:$U$136,10,FALSE))</f>
        <v/>
      </c>
      <c r="B474" s="139" t="str">
        <f>IF(E474="","",VLOOKUP('Opći dio'!$C$3,'Opći dio'!$L$6:$U$136,9,FALSE))</f>
        <v/>
      </c>
      <c r="C474" s="187" t="str">
        <f t="shared" si="38"/>
        <v/>
      </c>
      <c r="D474" s="138" t="str">
        <f t="shared" si="39"/>
        <v/>
      </c>
      <c r="E474" s="150"/>
      <c r="F474" s="191" t="str">
        <f t="shared" si="40"/>
        <v/>
      </c>
      <c r="G474" s="185"/>
      <c r="H474" s="185"/>
      <c r="I474" s="185"/>
      <c r="K474" s="141" t="str">
        <f t="shared" si="41"/>
        <v/>
      </c>
      <c r="L474" s="141" t="str">
        <f t="shared" si="42"/>
        <v/>
      </c>
    </row>
    <row r="475" spans="1:12">
      <c r="A475" s="139" t="str">
        <f>IF(E475="","",VLOOKUP('Opći dio'!$C$3,'Opći dio'!$L$6:$U$136,10,FALSE))</f>
        <v/>
      </c>
      <c r="B475" s="139" t="str">
        <f>IF(E475="","",VLOOKUP('Opći dio'!$C$3,'Opći dio'!$L$6:$U$136,9,FALSE))</f>
        <v/>
      </c>
      <c r="C475" s="187" t="str">
        <f t="shared" si="38"/>
        <v/>
      </c>
      <c r="D475" s="138" t="str">
        <f t="shared" si="39"/>
        <v/>
      </c>
      <c r="E475" s="150"/>
      <c r="F475" s="191" t="str">
        <f t="shared" si="40"/>
        <v/>
      </c>
      <c r="G475" s="185"/>
      <c r="H475" s="185"/>
      <c r="I475" s="185"/>
      <c r="K475" s="141" t="str">
        <f t="shared" si="41"/>
        <v/>
      </c>
      <c r="L475" s="141" t="str">
        <f t="shared" si="42"/>
        <v/>
      </c>
    </row>
    <row r="476" spans="1:12">
      <c r="A476" s="139" t="str">
        <f>IF(E476="","",VLOOKUP('Opći dio'!$C$3,'Opći dio'!$L$6:$U$136,10,FALSE))</f>
        <v/>
      </c>
      <c r="B476" s="139" t="str">
        <f>IF(E476="","",VLOOKUP('Opći dio'!$C$3,'Opći dio'!$L$6:$U$136,9,FALSE))</f>
        <v/>
      </c>
      <c r="C476" s="187" t="str">
        <f t="shared" si="38"/>
        <v/>
      </c>
      <c r="D476" s="138" t="str">
        <f t="shared" si="39"/>
        <v/>
      </c>
      <c r="E476" s="150"/>
      <c r="F476" s="191" t="str">
        <f t="shared" si="40"/>
        <v/>
      </c>
      <c r="G476" s="185"/>
      <c r="H476" s="185"/>
      <c r="I476" s="185"/>
      <c r="K476" s="141" t="str">
        <f t="shared" si="41"/>
        <v/>
      </c>
      <c r="L476" s="141" t="str">
        <f t="shared" si="42"/>
        <v/>
      </c>
    </row>
    <row r="477" spans="1:12">
      <c r="A477" s="139" t="str">
        <f>IF(E477="","",VLOOKUP('Opći dio'!$C$3,'Opći dio'!$L$6:$U$136,10,FALSE))</f>
        <v/>
      </c>
      <c r="B477" s="139" t="str">
        <f>IF(E477="","",VLOOKUP('Opći dio'!$C$3,'Opći dio'!$L$6:$U$136,9,FALSE))</f>
        <v/>
      </c>
      <c r="C477" s="187" t="str">
        <f t="shared" si="38"/>
        <v/>
      </c>
      <c r="D477" s="138" t="str">
        <f t="shared" si="39"/>
        <v/>
      </c>
      <c r="E477" s="150"/>
      <c r="F477" s="191" t="str">
        <f t="shared" si="40"/>
        <v/>
      </c>
      <c r="G477" s="185"/>
      <c r="H477" s="185"/>
      <c r="I477" s="185"/>
      <c r="K477" s="141" t="str">
        <f t="shared" si="41"/>
        <v/>
      </c>
      <c r="L477" s="141" t="str">
        <f t="shared" si="42"/>
        <v/>
      </c>
    </row>
    <row r="478" spans="1:12">
      <c r="A478" s="139" t="str">
        <f>IF(E478="","",VLOOKUP('Opći dio'!$C$3,'Opći dio'!$L$6:$U$136,10,FALSE))</f>
        <v/>
      </c>
      <c r="B478" s="139" t="str">
        <f>IF(E478="","",VLOOKUP('Opći dio'!$C$3,'Opći dio'!$L$6:$U$136,9,FALSE))</f>
        <v/>
      </c>
      <c r="C478" s="187" t="str">
        <f t="shared" si="38"/>
        <v/>
      </c>
      <c r="D478" s="138" t="str">
        <f t="shared" si="39"/>
        <v/>
      </c>
      <c r="E478" s="150"/>
      <c r="F478" s="191" t="str">
        <f t="shared" si="40"/>
        <v/>
      </c>
      <c r="G478" s="185"/>
      <c r="H478" s="185"/>
      <c r="I478" s="185"/>
      <c r="K478" s="141" t="str">
        <f t="shared" si="41"/>
        <v/>
      </c>
      <c r="L478" s="141" t="str">
        <f t="shared" si="42"/>
        <v/>
      </c>
    </row>
    <row r="479" spans="1:12">
      <c r="A479" s="139" t="str">
        <f>IF(E479="","",VLOOKUP('Opći dio'!$C$3,'Opći dio'!$L$6:$U$136,10,FALSE))</f>
        <v/>
      </c>
      <c r="B479" s="139" t="str">
        <f>IF(E479="","",VLOOKUP('Opći dio'!$C$3,'Opći dio'!$L$6:$U$136,9,FALSE))</f>
        <v/>
      </c>
      <c r="C479" s="187" t="str">
        <f t="shared" si="38"/>
        <v/>
      </c>
      <c r="D479" s="138" t="str">
        <f t="shared" si="39"/>
        <v/>
      </c>
      <c r="E479" s="150"/>
      <c r="F479" s="191" t="str">
        <f t="shared" si="40"/>
        <v/>
      </c>
      <c r="G479" s="185"/>
      <c r="H479" s="185"/>
      <c r="I479" s="185"/>
      <c r="K479" s="141" t="str">
        <f t="shared" si="41"/>
        <v/>
      </c>
      <c r="L479" s="141" t="str">
        <f t="shared" si="42"/>
        <v/>
      </c>
    </row>
    <row r="480" spans="1:12">
      <c r="A480" s="139" t="str">
        <f>IF(E480="","",VLOOKUP('Opći dio'!$C$3,'Opći dio'!$L$6:$U$136,10,FALSE))</f>
        <v/>
      </c>
      <c r="B480" s="139" t="str">
        <f>IF(E480="","",VLOOKUP('Opći dio'!$C$3,'Opći dio'!$L$6:$U$136,9,FALSE))</f>
        <v/>
      </c>
      <c r="C480" s="187" t="str">
        <f t="shared" si="38"/>
        <v/>
      </c>
      <c r="D480" s="138" t="str">
        <f t="shared" si="39"/>
        <v/>
      </c>
      <c r="E480" s="150"/>
      <c r="F480" s="191" t="str">
        <f t="shared" si="40"/>
        <v/>
      </c>
      <c r="G480" s="185"/>
      <c r="H480" s="185"/>
      <c r="I480" s="185"/>
      <c r="K480" s="141" t="str">
        <f t="shared" si="41"/>
        <v/>
      </c>
      <c r="L480" s="141" t="str">
        <f t="shared" si="42"/>
        <v/>
      </c>
    </row>
    <row r="481" spans="1:12">
      <c r="A481" s="139" t="str">
        <f>IF(E481="","",VLOOKUP('Opći dio'!$C$3,'Opći dio'!$L$6:$U$136,10,FALSE))</f>
        <v/>
      </c>
      <c r="B481" s="139" t="str">
        <f>IF(E481="","",VLOOKUP('Opći dio'!$C$3,'Opći dio'!$L$6:$U$136,9,FALSE))</f>
        <v/>
      </c>
      <c r="C481" s="187" t="str">
        <f t="shared" si="38"/>
        <v/>
      </c>
      <c r="D481" s="138" t="str">
        <f t="shared" si="39"/>
        <v/>
      </c>
      <c r="E481" s="150"/>
      <c r="F481" s="191" t="str">
        <f t="shared" si="40"/>
        <v/>
      </c>
      <c r="G481" s="185"/>
      <c r="H481" s="185"/>
      <c r="I481" s="185"/>
      <c r="K481" s="141" t="str">
        <f t="shared" si="41"/>
        <v/>
      </c>
      <c r="L481" s="141" t="str">
        <f t="shared" si="42"/>
        <v/>
      </c>
    </row>
    <row r="482" spans="1:12">
      <c r="A482" s="139" t="str">
        <f>IF(E482="","",VLOOKUP('Opći dio'!$C$3,'Opći dio'!$L$6:$U$136,10,FALSE))</f>
        <v/>
      </c>
      <c r="B482" s="139" t="str">
        <f>IF(E482="","",VLOOKUP('Opći dio'!$C$3,'Opći dio'!$L$6:$U$136,9,FALSE))</f>
        <v/>
      </c>
      <c r="C482" s="187" t="str">
        <f t="shared" si="38"/>
        <v/>
      </c>
      <c r="D482" s="138" t="str">
        <f t="shared" si="39"/>
        <v/>
      </c>
      <c r="E482" s="150"/>
      <c r="F482" s="191" t="str">
        <f t="shared" si="40"/>
        <v/>
      </c>
      <c r="G482" s="185"/>
      <c r="H482" s="185"/>
      <c r="I482" s="185"/>
      <c r="K482" s="141" t="str">
        <f t="shared" si="41"/>
        <v/>
      </c>
      <c r="L482" s="141" t="str">
        <f t="shared" si="42"/>
        <v/>
      </c>
    </row>
    <row r="483" spans="1:12">
      <c r="A483" s="139" t="str">
        <f>IF(E483="","",VLOOKUP('Opći dio'!$C$3,'Opći dio'!$L$6:$U$136,10,FALSE))</f>
        <v/>
      </c>
      <c r="B483" s="139" t="str">
        <f>IF(E483="","",VLOOKUP('Opći dio'!$C$3,'Opći dio'!$L$6:$U$136,9,FALSE))</f>
        <v/>
      </c>
      <c r="C483" s="187" t="str">
        <f t="shared" si="38"/>
        <v/>
      </c>
      <c r="D483" s="138" t="str">
        <f t="shared" si="39"/>
        <v/>
      </c>
      <c r="E483" s="150"/>
      <c r="F483" s="191" t="str">
        <f t="shared" si="40"/>
        <v/>
      </c>
      <c r="G483" s="185"/>
      <c r="H483" s="185"/>
      <c r="I483" s="185"/>
      <c r="K483" s="141" t="str">
        <f t="shared" si="41"/>
        <v/>
      </c>
      <c r="L483" s="141" t="str">
        <f t="shared" si="42"/>
        <v/>
      </c>
    </row>
    <row r="484" spans="1:12">
      <c r="A484" s="139" t="str">
        <f>IF(E484="","",VLOOKUP('Opći dio'!$C$3,'Opći dio'!$L$6:$U$136,10,FALSE))</f>
        <v/>
      </c>
      <c r="B484" s="139" t="str">
        <f>IF(E484="","",VLOOKUP('Opći dio'!$C$3,'Opći dio'!$L$6:$U$136,9,FALSE))</f>
        <v/>
      </c>
      <c r="C484" s="187" t="str">
        <f t="shared" si="38"/>
        <v/>
      </c>
      <c r="D484" s="138" t="str">
        <f t="shared" si="39"/>
        <v/>
      </c>
      <c r="E484" s="150"/>
      <c r="F484" s="191" t="str">
        <f t="shared" si="40"/>
        <v/>
      </c>
      <c r="G484" s="185"/>
      <c r="H484" s="185"/>
      <c r="I484" s="185"/>
      <c r="K484" s="141" t="str">
        <f t="shared" si="41"/>
        <v/>
      </c>
      <c r="L484" s="141" t="str">
        <f t="shared" si="42"/>
        <v/>
      </c>
    </row>
    <row r="485" spans="1:12">
      <c r="A485" s="139" t="str">
        <f>IF(E485="","",VLOOKUP('Opći dio'!$C$3,'Opći dio'!$L$6:$U$136,10,FALSE))</f>
        <v/>
      </c>
      <c r="B485" s="139" t="str">
        <f>IF(E485="","",VLOOKUP('Opći dio'!$C$3,'Opći dio'!$L$6:$U$136,9,FALSE))</f>
        <v/>
      </c>
      <c r="C485" s="187" t="str">
        <f t="shared" si="38"/>
        <v/>
      </c>
      <c r="D485" s="138" t="str">
        <f t="shared" si="39"/>
        <v/>
      </c>
      <c r="E485" s="150"/>
      <c r="F485" s="191" t="str">
        <f t="shared" si="40"/>
        <v/>
      </c>
      <c r="G485" s="185"/>
      <c r="H485" s="185"/>
      <c r="I485" s="185"/>
      <c r="K485" s="141" t="str">
        <f t="shared" si="41"/>
        <v/>
      </c>
      <c r="L485" s="141" t="str">
        <f t="shared" si="42"/>
        <v/>
      </c>
    </row>
    <row r="486" spans="1:12">
      <c r="A486" s="139" t="str">
        <f>IF(E486="","",VLOOKUP('Opći dio'!$C$3,'Opći dio'!$L$6:$U$136,10,FALSE))</f>
        <v/>
      </c>
      <c r="B486" s="139" t="str">
        <f>IF(E486="","",VLOOKUP('Opći dio'!$C$3,'Opći dio'!$L$6:$U$136,9,FALSE))</f>
        <v/>
      </c>
      <c r="C486" s="187" t="str">
        <f t="shared" si="38"/>
        <v/>
      </c>
      <c r="D486" s="138" t="str">
        <f t="shared" si="39"/>
        <v/>
      </c>
      <c r="E486" s="150"/>
      <c r="F486" s="191" t="str">
        <f t="shared" si="40"/>
        <v/>
      </c>
      <c r="G486" s="185"/>
      <c r="H486" s="185"/>
      <c r="I486" s="185"/>
      <c r="K486" s="141" t="str">
        <f t="shared" si="41"/>
        <v/>
      </c>
      <c r="L486" s="141" t="str">
        <f t="shared" si="42"/>
        <v/>
      </c>
    </row>
    <row r="487" spans="1:12">
      <c r="A487" s="139" t="str">
        <f>IF(E487="","",VLOOKUP('Opći dio'!$C$3,'Opći dio'!$L$6:$U$136,10,FALSE))</f>
        <v/>
      </c>
      <c r="B487" s="139" t="str">
        <f>IF(E487="","",VLOOKUP('Opći dio'!$C$3,'Opći dio'!$L$6:$U$136,9,FALSE))</f>
        <v/>
      </c>
      <c r="C487" s="187" t="str">
        <f t="shared" si="38"/>
        <v/>
      </c>
      <c r="D487" s="138" t="str">
        <f t="shared" si="39"/>
        <v/>
      </c>
      <c r="E487" s="150"/>
      <c r="F487" s="191" t="str">
        <f t="shared" si="40"/>
        <v/>
      </c>
      <c r="G487" s="185"/>
      <c r="H487" s="185"/>
      <c r="I487" s="185"/>
      <c r="K487" s="141" t="str">
        <f t="shared" si="41"/>
        <v/>
      </c>
      <c r="L487" s="141" t="str">
        <f t="shared" si="42"/>
        <v/>
      </c>
    </row>
    <row r="488" spans="1:12">
      <c r="A488" s="139" t="str">
        <f>IF(E488="","",VLOOKUP('Opći dio'!$C$3,'Opći dio'!$L$6:$U$136,10,FALSE))</f>
        <v/>
      </c>
      <c r="B488" s="139" t="str">
        <f>IF(E488="","",VLOOKUP('Opći dio'!$C$3,'Opći dio'!$L$6:$U$136,9,FALSE))</f>
        <v/>
      </c>
      <c r="C488" s="187" t="str">
        <f t="shared" si="38"/>
        <v/>
      </c>
      <c r="D488" s="138" t="str">
        <f t="shared" si="39"/>
        <v/>
      </c>
      <c r="E488" s="150"/>
      <c r="F488" s="191" t="str">
        <f t="shared" si="40"/>
        <v/>
      </c>
      <c r="G488" s="185"/>
      <c r="H488" s="185"/>
      <c r="I488" s="185"/>
      <c r="K488" s="141" t="str">
        <f t="shared" si="41"/>
        <v/>
      </c>
      <c r="L488" s="141" t="str">
        <f t="shared" si="42"/>
        <v/>
      </c>
    </row>
    <row r="489" spans="1:12">
      <c r="A489" s="139" t="str">
        <f>IF(E489="","",VLOOKUP('Opći dio'!$C$3,'Opći dio'!$L$6:$U$136,10,FALSE))</f>
        <v/>
      </c>
      <c r="B489" s="139" t="str">
        <f>IF(E489="","",VLOOKUP('Opći dio'!$C$3,'Opći dio'!$L$6:$U$136,9,FALSE))</f>
        <v/>
      </c>
      <c r="C489" s="187" t="str">
        <f t="shared" si="38"/>
        <v/>
      </c>
      <c r="D489" s="138" t="str">
        <f t="shared" si="39"/>
        <v/>
      </c>
      <c r="E489" s="150"/>
      <c r="F489" s="191" t="str">
        <f t="shared" si="40"/>
        <v/>
      </c>
      <c r="G489" s="185"/>
      <c r="H489" s="185"/>
      <c r="I489" s="185"/>
      <c r="K489" s="141" t="str">
        <f t="shared" si="41"/>
        <v/>
      </c>
      <c r="L489" s="141" t="str">
        <f t="shared" si="42"/>
        <v/>
      </c>
    </row>
    <row r="490" spans="1:12">
      <c r="A490" s="139" t="str">
        <f>IF(E490="","",VLOOKUP('Opći dio'!$C$3,'Opći dio'!$L$6:$U$136,10,FALSE))</f>
        <v/>
      </c>
      <c r="B490" s="139" t="str">
        <f>IF(E490="","",VLOOKUP('Opći dio'!$C$3,'Opći dio'!$L$6:$U$136,9,FALSE))</f>
        <v/>
      </c>
      <c r="C490" s="187" t="str">
        <f t="shared" si="38"/>
        <v/>
      </c>
      <c r="D490" s="138" t="str">
        <f t="shared" si="39"/>
        <v/>
      </c>
      <c r="E490" s="150"/>
      <c r="F490" s="191" t="str">
        <f t="shared" si="40"/>
        <v/>
      </c>
      <c r="G490" s="185"/>
      <c r="H490" s="185"/>
      <c r="I490" s="185"/>
      <c r="K490" s="141" t="str">
        <f t="shared" si="41"/>
        <v/>
      </c>
      <c r="L490" s="141" t="str">
        <f t="shared" si="42"/>
        <v/>
      </c>
    </row>
    <row r="491" spans="1:12">
      <c r="A491" s="139" t="str">
        <f>IF(E491="","",VLOOKUP('Opći dio'!$C$3,'Opći dio'!$L$6:$U$136,10,FALSE))</f>
        <v/>
      </c>
      <c r="B491" s="139" t="str">
        <f>IF(E491="","",VLOOKUP('Opći dio'!$C$3,'Opći dio'!$L$6:$U$136,9,FALSE))</f>
        <v/>
      </c>
      <c r="C491" s="187" t="str">
        <f t="shared" si="38"/>
        <v/>
      </c>
      <c r="D491" s="138" t="str">
        <f t="shared" si="39"/>
        <v/>
      </c>
      <c r="E491" s="150"/>
      <c r="F491" s="191" t="str">
        <f t="shared" si="40"/>
        <v/>
      </c>
      <c r="G491" s="185"/>
      <c r="H491" s="185"/>
      <c r="I491" s="185"/>
      <c r="K491" s="141" t="str">
        <f t="shared" si="41"/>
        <v/>
      </c>
      <c r="L491" s="141" t="str">
        <f t="shared" si="42"/>
        <v/>
      </c>
    </row>
    <row r="492" spans="1:12">
      <c r="A492" s="139" t="str">
        <f>IF(E492="","",VLOOKUP('Opći dio'!$C$3,'Opći dio'!$L$6:$U$136,10,FALSE))</f>
        <v/>
      </c>
      <c r="B492" s="139" t="str">
        <f>IF(E492="","",VLOOKUP('Opći dio'!$C$3,'Opći dio'!$L$6:$U$136,9,FALSE))</f>
        <v/>
      </c>
      <c r="C492" s="187" t="str">
        <f t="shared" si="38"/>
        <v/>
      </c>
      <c r="D492" s="138" t="str">
        <f t="shared" si="39"/>
        <v/>
      </c>
      <c r="E492" s="150"/>
      <c r="F492" s="191" t="str">
        <f t="shared" si="40"/>
        <v/>
      </c>
      <c r="G492" s="185"/>
      <c r="H492" s="185"/>
      <c r="I492" s="185"/>
      <c r="K492" s="141" t="str">
        <f t="shared" si="41"/>
        <v/>
      </c>
      <c r="L492" s="141" t="str">
        <f t="shared" si="42"/>
        <v/>
      </c>
    </row>
    <row r="493" spans="1:12">
      <c r="A493" s="139" t="str">
        <f>IF(E493="","",VLOOKUP('Opći dio'!$C$3,'Opći dio'!$L$6:$U$136,10,FALSE))</f>
        <v/>
      </c>
      <c r="B493" s="139" t="str">
        <f>IF(E493="","",VLOOKUP('Opći dio'!$C$3,'Opći dio'!$L$6:$U$136,9,FALSE))</f>
        <v/>
      </c>
      <c r="C493" s="187" t="str">
        <f t="shared" si="38"/>
        <v/>
      </c>
      <c r="D493" s="138" t="str">
        <f t="shared" si="39"/>
        <v/>
      </c>
      <c r="E493" s="150"/>
      <c r="F493" s="191" t="str">
        <f t="shared" si="40"/>
        <v/>
      </c>
      <c r="G493" s="185"/>
      <c r="H493" s="185"/>
      <c r="I493" s="185"/>
      <c r="K493" s="141" t="str">
        <f t="shared" si="41"/>
        <v/>
      </c>
      <c r="L493" s="141" t="str">
        <f t="shared" si="42"/>
        <v/>
      </c>
    </row>
    <row r="494" spans="1:12">
      <c r="A494" s="139" t="str">
        <f>IF(E494="","",VLOOKUP('Opći dio'!$C$3,'Opći dio'!$L$6:$U$136,10,FALSE))</f>
        <v/>
      </c>
      <c r="B494" s="139" t="str">
        <f>IF(E494="","",VLOOKUP('Opći dio'!$C$3,'Opći dio'!$L$6:$U$136,9,FALSE))</f>
        <v/>
      </c>
      <c r="C494" s="187" t="str">
        <f t="shared" si="38"/>
        <v/>
      </c>
      <c r="D494" s="138" t="str">
        <f t="shared" si="39"/>
        <v/>
      </c>
      <c r="E494" s="150"/>
      <c r="F494" s="191" t="str">
        <f t="shared" si="40"/>
        <v/>
      </c>
      <c r="G494" s="185"/>
      <c r="H494" s="185"/>
      <c r="I494" s="185"/>
      <c r="K494" s="141" t="str">
        <f t="shared" si="41"/>
        <v/>
      </c>
      <c r="L494" s="141" t="str">
        <f t="shared" si="42"/>
        <v/>
      </c>
    </row>
    <row r="495" spans="1:12">
      <c r="A495" s="139" t="str">
        <f>IF(E495="","",VLOOKUP('Opći dio'!$C$3,'Opći dio'!$L$6:$U$136,10,FALSE))</f>
        <v/>
      </c>
      <c r="B495" s="139" t="str">
        <f>IF(E495="","",VLOOKUP('Opći dio'!$C$3,'Opći dio'!$L$6:$U$136,9,FALSE))</f>
        <v/>
      </c>
      <c r="C495" s="187" t="str">
        <f t="shared" si="38"/>
        <v/>
      </c>
      <c r="D495" s="138" t="str">
        <f t="shared" si="39"/>
        <v/>
      </c>
      <c r="E495" s="150"/>
      <c r="F495" s="191" t="str">
        <f t="shared" si="40"/>
        <v/>
      </c>
      <c r="G495" s="185"/>
      <c r="H495" s="185"/>
      <c r="I495" s="185"/>
      <c r="K495" s="141" t="str">
        <f t="shared" si="41"/>
        <v/>
      </c>
      <c r="L495" s="141" t="str">
        <f t="shared" si="42"/>
        <v/>
      </c>
    </row>
    <row r="496" spans="1:12">
      <c r="A496" s="139" t="str">
        <f>IF(E496="","",VLOOKUP('Opći dio'!$C$3,'Opći dio'!$L$6:$U$136,10,FALSE))</f>
        <v/>
      </c>
      <c r="B496" s="139" t="str">
        <f>IF(E496="","",VLOOKUP('Opći dio'!$C$3,'Opći dio'!$L$6:$U$136,9,FALSE))</f>
        <v/>
      </c>
      <c r="C496" s="187" t="str">
        <f t="shared" si="38"/>
        <v/>
      </c>
      <c r="D496" s="138" t="str">
        <f t="shared" si="39"/>
        <v/>
      </c>
      <c r="E496" s="150"/>
      <c r="F496" s="191" t="str">
        <f t="shared" si="40"/>
        <v/>
      </c>
      <c r="G496" s="185"/>
      <c r="H496" s="185"/>
      <c r="I496" s="185"/>
      <c r="K496" s="141" t="str">
        <f t="shared" si="41"/>
        <v/>
      </c>
      <c r="L496" s="141" t="str">
        <f t="shared" si="42"/>
        <v/>
      </c>
    </row>
    <row r="497" spans="1:12">
      <c r="A497" s="139" t="str">
        <f>IF(E497="","",VLOOKUP('Opći dio'!$C$3,'Opći dio'!$L$6:$U$136,10,FALSE))</f>
        <v/>
      </c>
      <c r="B497" s="139" t="str">
        <f>IF(E497="","",VLOOKUP('Opći dio'!$C$3,'Opći dio'!$L$6:$U$136,9,FALSE))</f>
        <v/>
      </c>
      <c r="C497" s="187" t="str">
        <f t="shared" si="38"/>
        <v/>
      </c>
      <c r="D497" s="138" t="str">
        <f t="shared" si="39"/>
        <v/>
      </c>
      <c r="E497" s="150"/>
      <c r="F497" s="191" t="str">
        <f t="shared" si="40"/>
        <v/>
      </c>
      <c r="G497" s="185"/>
      <c r="H497" s="185"/>
      <c r="I497" s="185"/>
      <c r="K497" s="141" t="str">
        <f t="shared" si="41"/>
        <v/>
      </c>
      <c r="L497" s="141" t="str">
        <f t="shared" si="42"/>
        <v/>
      </c>
    </row>
    <row r="498" spans="1:12">
      <c r="A498" s="139" t="str">
        <f>IF(E498="","",VLOOKUP('Opći dio'!$C$3,'Opći dio'!$L$6:$U$136,10,FALSE))</f>
        <v/>
      </c>
      <c r="B498" s="139" t="str">
        <f>IF(E498="","",VLOOKUP('Opći dio'!$C$3,'Opći dio'!$L$6:$U$136,9,FALSE))</f>
        <v/>
      </c>
      <c r="C498" s="187" t="str">
        <f t="shared" si="38"/>
        <v/>
      </c>
      <c r="D498" s="138" t="str">
        <f t="shared" si="39"/>
        <v/>
      </c>
      <c r="E498" s="150"/>
      <c r="F498" s="191" t="str">
        <f t="shared" si="40"/>
        <v/>
      </c>
      <c r="G498" s="185"/>
      <c r="H498" s="185"/>
      <c r="I498" s="185"/>
      <c r="K498" s="141" t="str">
        <f t="shared" si="41"/>
        <v/>
      </c>
      <c r="L498" s="141" t="str">
        <f t="shared" si="42"/>
        <v/>
      </c>
    </row>
    <row r="499" spans="1:12">
      <c r="A499" s="139" t="str">
        <f>IF(E499="","",VLOOKUP('Opći dio'!$C$3,'Opći dio'!$L$6:$U$136,10,FALSE))</f>
        <v/>
      </c>
      <c r="B499" s="139" t="str">
        <f>IF(E499="","",VLOOKUP('Opći dio'!$C$3,'Opći dio'!$L$6:$U$136,9,FALSE))</f>
        <v/>
      </c>
      <c r="C499" s="187" t="str">
        <f t="shared" si="38"/>
        <v/>
      </c>
      <c r="D499" s="138" t="str">
        <f t="shared" si="39"/>
        <v/>
      </c>
      <c r="E499" s="150"/>
      <c r="F499" s="191" t="str">
        <f t="shared" si="40"/>
        <v/>
      </c>
      <c r="G499" s="185"/>
      <c r="H499" s="185"/>
      <c r="I499" s="185"/>
      <c r="K499" s="141" t="str">
        <f t="shared" si="41"/>
        <v/>
      </c>
      <c r="L499" s="141" t="str">
        <f t="shared" si="42"/>
        <v/>
      </c>
    </row>
    <row r="500" spans="1:12">
      <c r="A500" s="139" t="str">
        <f>IF(E500="","",VLOOKUP('Opći dio'!$C$3,'Opći dio'!$L$6:$U$136,10,FALSE))</f>
        <v/>
      </c>
      <c r="B500" s="139" t="str">
        <f>IF(E500="","",VLOOKUP('Opći dio'!$C$3,'Opći dio'!$L$6:$U$136,9,FALSE))</f>
        <v/>
      </c>
      <c r="C500" s="187" t="str">
        <f t="shared" si="38"/>
        <v/>
      </c>
      <c r="D500" s="138" t="str">
        <f t="shared" si="39"/>
        <v/>
      </c>
      <c r="E500" s="150"/>
      <c r="F500" s="191" t="str">
        <f t="shared" si="40"/>
        <v/>
      </c>
      <c r="G500" s="185"/>
      <c r="H500" s="185"/>
      <c r="I500" s="185"/>
      <c r="K500" s="141" t="str">
        <f t="shared" si="41"/>
        <v/>
      </c>
      <c r="L500" s="141" t="str">
        <f t="shared" si="42"/>
        <v/>
      </c>
    </row>
    <row r="501" spans="1:12">
      <c r="A501" s="139" t="str">
        <f>IF(E501="","",VLOOKUP('Opći dio'!$C$3,'Opći dio'!$L$6:$U$136,10,FALSE))</f>
        <v/>
      </c>
      <c r="B501" s="139" t="str">
        <f>IF(E501="","",VLOOKUP('Opći dio'!$C$3,'Opći dio'!$L$6:$U$136,9,FALSE))</f>
        <v/>
      </c>
      <c r="C501" s="187" t="str">
        <f t="shared" si="38"/>
        <v/>
      </c>
      <c r="D501" s="138" t="str">
        <f t="shared" si="39"/>
        <v/>
      </c>
      <c r="E501" s="150"/>
      <c r="F501" s="191" t="str">
        <f t="shared" si="40"/>
        <v/>
      </c>
      <c r="G501" s="185"/>
      <c r="H501" s="185"/>
      <c r="I501" s="185"/>
      <c r="K501" s="141" t="str">
        <f t="shared" si="41"/>
        <v/>
      </c>
      <c r="L501" s="141" t="str">
        <f t="shared" si="42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</sheetData>
  <sheetProtection password="DE31" sheet="1" objects="1" scenarios="1" selectLockedCells="1"/>
  <autoFilter ref="Q5:U105" xr:uid="{00000000-0009-0000-0000-000001000000}"/>
  <sortState ref="Q8:U105">
    <sortCondition ref="Q8"/>
  </sortState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Y507"/>
  <sheetViews>
    <sheetView showGridLines="0" zoomScaleNormal="100" workbookViewId="0">
      <pane ySplit="2" topLeftCell="A15" activePane="bottomLeft" state="frozen"/>
      <selection pane="bottomLeft" activeCell="I16" sqref="I16"/>
    </sheetView>
  </sheetViews>
  <sheetFormatPr defaultColWidth="9.140625" defaultRowHeight="15" zeroHeight="1"/>
  <cols>
    <col min="1" max="1" width="8.28515625" style="141" customWidth="1"/>
    <col min="2" max="2" width="20.28515625" style="141" customWidth="1"/>
    <col min="3" max="3" width="11.5703125" style="141" customWidth="1"/>
    <col min="4" max="4" width="33" style="141" customWidth="1"/>
    <col min="5" max="5" width="11.28515625" style="141" customWidth="1"/>
    <col min="6" max="6" width="21.85546875" style="141" customWidth="1"/>
    <col min="7" max="7" width="12.5703125" style="141" customWidth="1"/>
    <col min="8" max="8" width="36.7109375" style="141" customWidth="1"/>
    <col min="9" max="9" width="16.42578125" style="142" customWidth="1"/>
    <col min="10" max="10" width="15.7109375" style="142" customWidth="1"/>
    <col min="11" max="11" width="15.140625" style="142" customWidth="1"/>
    <col min="12" max="12" width="9.140625" style="141" customWidth="1"/>
    <col min="13" max="15" width="9.140625" style="141" hidden="1" customWidth="1"/>
    <col min="16" max="16" width="46.5703125" style="141" hidden="1" customWidth="1"/>
    <col min="17" max="18" width="9.140625" style="141" hidden="1" customWidth="1"/>
    <col min="19" max="19" width="58.85546875" style="141" hidden="1" customWidth="1"/>
    <col min="20" max="25" width="9.140625" style="141" hidden="1" customWidth="1"/>
    <col min="26" max="42" width="0" style="141" hidden="1" customWidth="1"/>
    <col min="43" max="16384" width="9.140625" style="141"/>
  </cols>
  <sheetData>
    <row r="1" spans="1:25" ht="35.25" customHeight="1">
      <c r="A1" s="289" t="s">
        <v>757</v>
      </c>
      <c r="B1" s="289"/>
      <c r="C1" s="289"/>
      <c r="D1" s="289"/>
      <c r="E1" s="190" t="str">
        <f>IF('Opći dio'!C3="odaberite -","Molimo odaberite proračunskog korisnika na radnom listu Opći podaci!","")</f>
        <v/>
      </c>
    </row>
    <row r="2" spans="1:25" ht="36" customHeight="1">
      <c r="A2" s="143" t="s">
        <v>43</v>
      </c>
      <c r="B2" s="143" t="s">
        <v>44</v>
      </c>
      <c r="C2" s="148" t="s">
        <v>786</v>
      </c>
      <c r="D2" s="143" t="s">
        <v>46</v>
      </c>
      <c r="E2" s="148" t="s">
        <v>784</v>
      </c>
      <c r="F2" s="143" t="s">
        <v>785</v>
      </c>
      <c r="G2" s="148" t="s">
        <v>787</v>
      </c>
      <c r="H2" s="143" t="s">
        <v>48</v>
      </c>
      <c r="I2" s="192" t="s">
        <v>2141</v>
      </c>
      <c r="J2" s="192" t="s">
        <v>2142</v>
      </c>
      <c r="K2" s="192" t="s">
        <v>2143</v>
      </c>
      <c r="M2" s="144" t="s">
        <v>759</v>
      </c>
      <c r="N2" s="144" t="s">
        <v>760</v>
      </c>
    </row>
    <row r="3" spans="1:25">
      <c r="A3" s="145" t="str">
        <f>IF(C3="","",VLOOKUP('Opći dio'!$C$3,'Opći dio'!$L$6:$U$136,10,FALSE))</f>
        <v>08006</v>
      </c>
      <c r="B3" s="145" t="str">
        <f>IF(C3="","",VLOOKUP('Opći dio'!$C$3,'Opći dio'!$L$6:$U$136,9,FALSE))</f>
        <v>Sveučilišta i veleučilišta u Republici Hrvatskoj</v>
      </c>
      <c r="C3" s="151">
        <v>11</v>
      </c>
      <c r="D3" s="146" t="str">
        <f t="shared" ref="D3" si="0">IFERROR(VLOOKUP(C3,$O$6:$P$23,2,FALSE),"")</f>
        <v>Opći prihodi i primici</v>
      </c>
      <c r="E3" s="151">
        <v>3111</v>
      </c>
      <c r="F3" s="146" t="str">
        <f t="shared" ref="F3" si="1">IFERROR(VLOOKUP(E3,$R$5:$T$129,2,FALSE),"")</f>
        <v>Plaće za redovan rad</v>
      </c>
      <c r="G3" s="186" t="s">
        <v>68</v>
      </c>
      <c r="H3" s="146" t="str">
        <f t="shared" ref="H3" si="2">IFERROR(VLOOKUP(G3,$X$6:$Y$200,2,FALSE),"")</f>
        <v>REDOVNA DJELATNOST SVEUČILIŠTA U OSIJEKU</v>
      </c>
      <c r="I3" s="185">
        <v>6078629</v>
      </c>
      <c r="J3" s="185">
        <v>6273145</v>
      </c>
      <c r="K3" s="185">
        <v>6304511</v>
      </c>
      <c r="M3" s="141" t="str">
        <f>LEFT(E3,3)</f>
        <v>311</v>
      </c>
      <c r="N3" s="141" t="str">
        <f>LEFT(E3,2)</f>
        <v>31</v>
      </c>
    </row>
    <row r="4" spans="1:25">
      <c r="A4" s="145" t="str">
        <f>IF(C4="","",VLOOKUP('Opći dio'!$C$3,'Opći dio'!$L$6:$U$136,10,FALSE))</f>
        <v>08006</v>
      </c>
      <c r="B4" s="145" t="str">
        <f>IF(C4="","",VLOOKUP('Opći dio'!$C$3,'Opći dio'!$L$6:$U$136,9,FALSE))</f>
        <v>Sveučilišta i veleučilišta u Republici Hrvatskoj</v>
      </c>
      <c r="C4" s="151">
        <v>11</v>
      </c>
      <c r="D4" s="146" t="str">
        <f t="shared" ref="D4:D67" si="3">IFERROR(VLOOKUP(C4,$O$6:$P$23,2,FALSE),"")</f>
        <v>Opći prihodi i primici</v>
      </c>
      <c r="E4" s="151">
        <v>3132</v>
      </c>
      <c r="F4" s="146" t="str">
        <f t="shared" ref="F4:F67" si="4">IFERROR(VLOOKUP(E4,$R$5:$T$129,2,FALSE),"")</f>
        <v>Doprinosi za obvezno zdravstveno osiguranje</v>
      </c>
      <c r="G4" s="186" t="s">
        <v>68</v>
      </c>
      <c r="H4" s="146" t="str">
        <f t="shared" ref="H4:H67" si="5">IFERROR(VLOOKUP(G4,$X$6:$Y$200,2,FALSE),"")</f>
        <v>REDOVNA DJELATNOST SVEUČILIŠTA U OSIJEKU</v>
      </c>
      <c r="I4" s="185">
        <v>955594</v>
      </c>
      <c r="J4" s="185">
        <v>986173</v>
      </c>
      <c r="K4" s="185">
        <v>991104</v>
      </c>
      <c r="M4" s="141" t="str">
        <f t="shared" ref="M4:M67" si="6">LEFT(E4,3)</f>
        <v>313</v>
      </c>
      <c r="N4" s="141" t="str">
        <f t="shared" ref="N4:N67" si="7">LEFT(E4,2)</f>
        <v>31</v>
      </c>
      <c r="R4" s="147"/>
      <c r="S4" s="147"/>
    </row>
    <row r="5" spans="1:25">
      <c r="A5" s="145" t="str">
        <f>IF(C5="","",VLOOKUP('Opći dio'!$C$3,'Opći dio'!$L$6:$U$136,10,FALSE))</f>
        <v>08006</v>
      </c>
      <c r="B5" s="145" t="str">
        <f>IF(C5="","",VLOOKUP('Opći dio'!$C$3,'Opći dio'!$L$6:$U$136,9,FALSE))</f>
        <v>Sveučilišta i veleučilišta u Republici Hrvatskoj</v>
      </c>
      <c r="C5" s="151">
        <v>11</v>
      </c>
      <c r="D5" s="146" t="str">
        <f t="shared" si="3"/>
        <v>Opći prihodi i primici</v>
      </c>
      <c r="E5" s="151">
        <v>3121</v>
      </c>
      <c r="F5" s="146" t="str">
        <f t="shared" si="4"/>
        <v>Ostali rashodi za zaposlene</v>
      </c>
      <c r="G5" s="186" t="s">
        <v>68</v>
      </c>
      <c r="H5" s="146" t="str">
        <f t="shared" si="5"/>
        <v>REDOVNA DJELATNOST SVEUČILIŠTA U OSIJEKU</v>
      </c>
      <c r="I5" s="185">
        <v>173577</v>
      </c>
      <c r="J5" s="185">
        <v>179131</v>
      </c>
      <c r="K5" s="185">
        <v>180027</v>
      </c>
      <c r="M5" s="141" t="str">
        <f t="shared" si="6"/>
        <v>312</v>
      </c>
      <c r="N5" s="141" t="str">
        <f t="shared" si="7"/>
        <v>31</v>
      </c>
      <c r="O5" s="141" t="s">
        <v>45</v>
      </c>
      <c r="P5" s="141" t="s">
        <v>46</v>
      </c>
      <c r="R5" s="141">
        <v>3111</v>
      </c>
      <c r="S5" s="141" t="s">
        <v>54</v>
      </c>
      <c r="U5" s="141" t="str">
        <f>LEFT(R5,2)</f>
        <v>31</v>
      </c>
      <c r="V5" s="141" t="str">
        <f>LEFT(R5,3)</f>
        <v>311</v>
      </c>
      <c r="X5" s="141" t="s">
        <v>47</v>
      </c>
      <c r="Y5" s="141" t="s">
        <v>48</v>
      </c>
    </row>
    <row r="6" spans="1:25">
      <c r="A6" s="145" t="str">
        <f>IF(C6="","",VLOOKUP('Opći dio'!$C$3,'Opći dio'!$L$6:$U$136,10,FALSE))</f>
        <v>08006</v>
      </c>
      <c r="B6" s="145" t="str">
        <f>IF(C6="","",VLOOKUP('Opći dio'!$C$3,'Opći dio'!$L$6:$U$136,9,FALSE))</f>
        <v>Sveučilišta i veleučilišta u Republici Hrvatskoj</v>
      </c>
      <c r="C6" s="151">
        <v>11</v>
      </c>
      <c r="D6" s="146" t="str">
        <f t="shared" si="3"/>
        <v>Opći prihodi i primici</v>
      </c>
      <c r="E6" s="151">
        <v>3212</v>
      </c>
      <c r="F6" s="146" t="str">
        <f t="shared" si="4"/>
        <v>Naknade za prijevoz, za rad na terenu i odvojeni život</v>
      </c>
      <c r="G6" s="186" t="s">
        <v>68</v>
      </c>
      <c r="H6" s="146" t="str">
        <f t="shared" si="5"/>
        <v>REDOVNA DJELATNOST SVEUČILIŠTA U OSIJEKU</v>
      </c>
      <c r="I6" s="185">
        <v>166067</v>
      </c>
      <c r="J6" s="185">
        <v>171381</v>
      </c>
      <c r="K6" s="185">
        <v>172238</v>
      </c>
      <c r="M6" s="141" t="str">
        <f t="shared" si="6"/>
        <v>321</v>
      </c>
      <c r="N6" s="141" t="str">
        <f t="shared" si="7"/>
        <v>32</v>
      </c>
      <c r="O6" s="141">
        <v>11</v>
      </c>
      <c r="P6" s="141" t="s">
        <v>53</v>
      </c>
      <c r="R6" s="141">
        <v>3112</v>
      </c>
      <c r="S6" s="141" t="s">
        <v>153</v>
      </c>
      <c r="U6" s="141" t="str">
        <f>LEFT(R6,2)</f>
        <v>31</v>
      </c>
      <c r="V6" s="141" t="str">
        <f>LEFT(R6,3)</f>
        <v>311</v>
      </c>
      <c r="X6" s="141" t="s">
        <v>1564</v>
      </c>
      <c r="Y6" s="141" t="s">
        <v>1564</v>
      </c>
    </row>
    <row r="7" spans="1:25">
      <c r="A7" s="145" t="str">
        <f>IF(C7="","",VLOOKUP('Opći dio'!$C$3,'Opći dio'!$L$6:$U$136,10,FALSE))</f>
        <v>08006</v>
      </c>
      <c r="B7" s="145" t="str">
        <f>IF(C7="","",VLOOKUP('Opći dio'!$C$3,'Opći dio'!$L$6:$U$136,9,FALSE))</f>
        <v>Sveučilišta i veleučilišta u Republici Hrvatskoj</v>
      </c>
      <c r="C7" s="151">
        <v>11</v>
      </c>
      <c r="D7" s="146" t="str">
        <f t="shared" si="3"/>
        <v>Opći prihodi i primici</v>
      </c>
      <c r="E7" s="151">
        <v>3236</v>
      </c>
      <c r="F7" s="146" t="str">
        <f t="shared" si="4"/>
        <v>Zdravstvene i veterinarske usluge</v>
      </c>
      <c r="G7" s="186" t="s">
        <v>68</v>
      </c>
      <c r="H7" s="146" t="str">
        <f t="shared" si="5"/>
        <v>REDOVNA DJELATNOST SVEUČILIŠTA U OSIJEKU</v>
      </c>
      <c r="I7" s="185">
        <v>5000</v>
      </c>
      <c r="J7" s="185">
        <v>5160</v>
      </c>
      <c r="K7" s="185">
        <v>5186</v>
      </c>
      <c r="M7" s="141" t="str">
        <f t="shared" si="6"/>
        <v>323</v>
      </c>
      <c r="N7" s="141" t="str">
        <f t="shared" si="7"/>
        <v>32</v>
      </c>
      <c r="O7" s="141">
        <v>12</v>
      </c>
      <c r="P7" s="141" t="s">
        <v>263</v>
      </c>
      <c r="R7" s="141">
        <v>3113</v>
      </c>
      <c r="S7" s="141" t="s">
        <v>132</v>
      </c>
      <c r="U7" s="141" t="str">
        <f>LEFT(R7,2)</f>
        <v>31</v>
      </c>
      <c r="V7" s="141" t="str">
        <f>LEFT(R7,3)</f>
        <v>311</v>
      </c>
      <c r="X7" t="s">
        <v>2028</v>
      </c>
      <c r="Y7" t="s">
        <v>2029</v>
      </c>
    </row>
    <row r="8" spans="1:25">
      <c r="A8" s="145" t="str">
        <f>IF(C8="","",VLOOKUP('Opći dio'!$C$3,'Opći dio'!$L$6:$U$136,10,FALSE))</f>
        <v>08006</v>
      </c>
      <c r="B8" s="145" t="str">
        <f>IF(C8="","",VLOOKUP('Opći dio'!$C$3,'Opći dio'!$L$6:$U$136,9,FALSE))</f>
        <v>Sveučilišta i veleučilišta u Republici Hrvatskoj</v>
      </c>
      <c r="C8" s="151">
        <v>11</v>
      </c>
      <c r="D8" s="146" t="str">
        <f t="shared" si="3"/>
        <v>Opći prihodi i primici</v>
      </c>
      <c r="E8" s="151">
        <v>3211</v>
      </c>
      <c r="F8" s="146" t="str">
        <f t="shared" si="4"/>
        <v>Službena putovanja</v>
      </c>
      <c r="G8" s="186" t="s">
        <v>801</v>
      </c>
      <c r="H8" s="146" t="str">
        <f t="shared" si="5"/>
        <v>PROGRAMSKO FINANCIRANJE JAVNIH VISOKIH UČILIŠTA</v>
      </c>
      <c r="I8" s="185">
        <v>38446</v>
      </c>
      <c r="J8" s="185">
        <v>31718</v>
      </c>
      <c r="K8" s="185">
        <v>31718</v>
      </c>
      <c r="M8" s="141" t="str">
        <f t="shared" si="6"/>
        <v>321</v>
      </c>
      <c r="N8" s="141" t="str">
        <f t="shared" si="7"/>
        <v>32</v>
      </c>
      <c r="O8" s="141">
        <v>31</v>
      </c>
      <c r="P8" s="141" t="s">
        <v>98</v>
      </c>
      <c r="R8" s="141">
        <v>3114</v>
      </c>
      <c r="S8" s="141" t="s">
        <v>154</v>
      </c>
      <c r="U8" s="141" t="str">
        <f>LEFT(R8,2)</f>
        <v>31</v>
      </c>
      <c r="V8" s="141" t="str">
        <f>LEFT(R8,3)</f>
        <v>311</v>
      </c>
      <c r="X8" t="s">
        <v>2030</v>
      </c>
      <c r="Y8" t="s">
        <v>2031</v>
      </c>
    </row>
    <row r="9" spans="1:25">
      <c r="A9" s="145" t="str">
        <f>IF(C9="","",VLOOKUP('Opći dio'!$C$3,'Opći dio'!$L$6:$U$136,10,FALSE))</f>
        <v>08006</v>
      </c>
      <c r="B9" s="145" t="str">
        <f>IF(C9="","",VLOOKUP('Opći dio'!$C$3,'Opći dio'!$L$6:$U$136,9,FALSE))</f>
        <v>Sveučilišta i veleučilišta u Republici Hrvatskoj</v>
      </c>
      <c r="C9" s="151">
        <v>11</v>
      </c>
      <c r="D9" s="146" t="str">
        <f t="shared" si="3"/>
        <v>Opći prihodi i primici</v>
      </c>
      <c r="E9" s="151">
        <v>3213</v>
      </c>
      <c r="F9" s="146" t="str">
        <f t="shared" si="4"/>
        <v>Stručno usavršavanje zaposlenika</v>
      </c>
      <c r="G9" s="186" t="s">
        <v>801</v>
      </c>
      <c r="H9" s="146" t="str">
        <f t="shared" si="5"/>
        <v>PROGRAMSKO FINANCIRANJE JAVNIH VISOKIH UČILIŠTA</v>
      </c>
      <c r="I9" s="185">
        <v>9611</v>
      </c>
      <c r="J9" s="185">
        <v>10573</v>
      </c>
      <c r="K9" s="185">
        <v>10573</v>
      </c>
      <c r="M9" s="141" t="str">
        <f t="shared" si="6"/>
        <v>321</v>
      </c>
      <c r="N9" s="141" t="str">
        <f t="shared" si="7"/>
        <v>32</v>
      </c>
      <c r="O9" s="141">
        <v>41</v>
      </c>
      <c r="P9" s="141" t="s">
        <v>1537</v>
      </c>
      <c r="R9" s="141">
        <v>3121</v>
      </c>
      <c r="S9" s="141" t="s">
        <v>57</v>
      </c>
      <c r="U9" s="141" t="str">
        <f>LEFT(R9,2)</f>
        <v>31</v>
      </c>
      <c r="V9" s="141" t="str">
        <f>LEFT(R9,3)</f>
        <v>312</v>
      </c>
      <c r="X9" t="s">
        <v>1211</v>
      </c>
      <c r="Y9" t="s">
        <v>1212</v>
      </c>
    </row>
    <row r="10" spans="1:25">
      <c r="A10" s="145" t="str">
        <f>IF(C10="","",VLOOKUP('Opći dio'!$C$3,'Opći dio'!$L$6:$U$136,10,FALSE))</f>
        <v>08006</v>
      </c>
      <c r="B10" s="145" t="str">
        <f>IF(C10="","",VLOOKUP('Opći dio'!$C$3,'Opći dio'!$L$6:$U$136,9,FALSE))</f>
        <v>Sveučilišta i veleučilišta u Republici Hrvatskoj</v>
      </c>
      <c r="C10" s="151">
        <v>11</v>
      </c>
      <c r="D10" s="146" t="str">
        <f t="shared" si="3"/>
        <v>Opći prihodi i primici</v>
      </c>
      <c r="E10" s="151">
        <v>3221</v>
      </c>
      <c r="F10" s="146" t="str">
        <f t="shared" si="4"/>
        <v>Uredski materijal i ostali materijalni rashodi</v>
      </c>
      <c r="G10" s="186" t="s">
        <v>801</v>
      </c>
      <c r="H10" s="146" t="str">
        <f t="shared" si="5"/>
        <v>PROGRAMSKO FINANCIRANJE JAVNIH VISOKIH UČILIŠTA</v>
      </c>
      <c r="I10" s="185">
        <v>38446</v>
      </c>
      <c r="J10" s="185">
        <v>42290</v>
      </c>
      <c r="K10" s="185">
        <v>42290</v>
      </c>
      <c r="M10" s="141" t="str">
        <f t="shared" si="6"/>
        <v>322</v>
      </c>
      <c r="N10" s="141" t="str">
        <f t="shared" si="7"/>
        <v>32</v>
      </c>
      <c r="O10" s="141">
        <v>43</v>
      </c>
      <c r="P10" s="141" t="s">
        <v>103</v>
      </c>
      <c r="R10" s="195">
        <v>3132</v>
      </c>
      <c r="S10" s="195" t="s">
        <v>58</v>
      </c>
      <c r="T10" s="195"/>
      <c r="U10" s="195" t="str">
        <f t="shared" ref="U10:U41" si="8">LEFT(R10,2)</f>
        <v>31</v>
      </c>
      <c r="V10" s="195" t="str">
        <f t="shared" ref="V10:V41" si="9">LEFT(R10,3)</f>
        <v>313</v>
      </c>
      <c r="X10" t="s">
        <v>2032</v>
      </c>
      <c r="Y10" t="s">
        <v>2033</v>
      </c>
    </row>
    <row r="11" spans="1:25">
      <c r="A11" s="145" t="str">
        <f>IF(C11="","",VLOOKUP('Opći dio'!$C$3,'Opći dio'!$L$6:$U$136,10,FALSE))</f>
        <v>08006</v>
      </c>
      <c r="B11" s="145" t="str">
        <f>IF(C11="","",VLOOKUP('Opći dio'!$C$3,'Opći dio'!$L$6:$U$136,9,FALSE))</f>
        <v>Sveučilišta i veleučilišta u Republici Hrvatskoj</v>
      </c>
      <c r="C11" s="151">
        <v>11</v>
      </c>
      <c r="D11" s="146" t="str">
        <f t="shared" si="3"/>
        <v>Opći prihodi i primici</v>
      </c>
      <c r="E11" s="151">
        <v>3223</v>
      </c>
      <c r="F11" s="146" t="str">
        <f t="shared" si="4"/>
        <v>Energija</v>
      </c>
      <c r="G11" s="186" t="s">
        <v>801</v>
      </c>
      <c r="H11" s="146" t="str">
        <f t="shared" si="5"/>
        <v>PROGRAMSKO FINANCIRANJE JAVNIH VISOKIH UČILIŠTA</v>
      </c>
      <c r="I11" s="185">
        <v>88426</v>
      </c>
      <c r="J11" s="185">
        <v>97268</v>
      </c>
      <c r="K11" s="185">
        <v>97268</v>
      </c>
      <c r="M11" s="141" t="str">
        <f t="shared" si="6"/>
        <v>322</v>
      </c>
      <c r="N11" s="141" t="str">
        <f t="shared" si="7"/>
        <v>32</v>
      </c>
      <c r="O11" s="141">
        <v>51</v>
      </c>
      <c r="P11" s="141" t="s">
        <v>93</v>
      </c>
      <c r="R11" s="141">
        <v>3211</v>
      </c>
      <c r="S11" s="141" t="s">
        <v>85</v>
      </c>
      <c r="U11" s="141" t="str">
        <f t="shared" si="8"/>
        <v>32</v>
      </c>
      <c r="V11" s="141" t="str">
        <f t="shared" si="9"/>
        <v>321</v>
      </c>
      <c r="X11" t="s">
        <v>1213</v>
      </c>
      <c r="Y11" t="s">
        <v>1214</v>
      </c>
    </row>
    <row r="12" spans="1:25">
      <c r="A12" s="145" t="str">
        <f>IF(C12="","",VLOOKUP('Opći dio'!$C$3,'Opći dio'!$L$6:$U$136,10,FALSE))</f>
        <v>08006</v>
      </c>
      <c r="B12" s="145" t="str">
        <f>IF(C12="","",VLOOKUP('Opći dio'!$C$3,'Opći dio'!$L$6:$U$136,9,FALSE))</f>
        <v>Sveučilišta i veleučilišta u Republici Hrvatskoj</v>
      </c>
      <c r="C12" s="151">
        <v>11</v>
      </c>
      <c r="D12" s="146" t="str">
        <f t="shared" si="3"/>
        <v>Opći prihodi i primici</v>
      </c>
      <c r="E12" s="151">
        <v>3237</v>
      </c>
      <c r="F12" s="146" t="str">
        <f t="shared" si="4"/>
        <v>Intelektualne i osobne usluge</v>
      </c>
      <c r="G12" s="186" t="s">
        <v>801</v>
      </c>
      <c r="H12" s="146" t="str">
        <f t="shared" si="5"/>
        <v>PROGRAMSKO FINANCIRANJE JAVNIH VISOKIH UČILIŠTA</v>
      </c>
      <c r="I12" s="185">
        <v>67280</v>
      </c>
      <c r="J12" s="185">
        <v>84581</v>
      </c>
      <c r="K12" s="185">
        <v>84581</v>
      </c>
      <c r="M12" s="141" t="str">
        <f t="shared" si="6"/>
        <v>323</v>
      </c>
      <c r="N12" s="141" t="str">
        <f t="shared" si="7"/>
        <v>32</v>
      </c>
      <c r="O12" s="141">
        <v>52</v>
      </c>
      <c r="P12" s="141" t="s">
        <v>116</v>
      </c>
      <c r="R12" s="141">
        <v>3212</v>
      </c>
      <c r="S12" s="141" t="s">
        <v>59</v>
      </c>
      <c r="U12" s="141" t="str">
        <f t="shared" si="8"/>
        <v>32</v>
      </c>
      <c r="V12" s="141" t="str">
        <f t="shared" si="9"/>
        <v>321</v>
      </c>
      <c r="X12" t="s">
        <v>2034</v>
      </c>
      <c r="Y12" t="s">
        <v>2035</v>
      </c>
    </row>
    <row r="13" spans="1:25">
      <c r="A13" s="145" t="str">
        <f>IF(C13="","",VLOOKUP('Opći dio'!$C$3,'Opći dio'!$L$6:$U$136,10,FALSE))</f>
        <v>08006</v>
      </c>
      <c r="B13" s="145" t="str">
        <f>IF(C13="","",VLOOKUP('Opći dio'!$C$3,'Opći dio'!$L$6:$U$136,9,FALSE))</f>
        <v>Sveučilišta i veleučilišta u Republici Hrvatskoj</v>
      </c>
      <c r="C13" s="151">
        <v>11</v>
      </c>
      <c r="D13" s="146" t="str">
        <f t="shared" si="3"/>
        <v>Opći prihodi i primici</v>
      </c>
      <c r="E13" s="151">
        <v>3238</v>
      </c>
      <c r="F13" s="146" t="str">
        <f t="shared" si="4"/>
        <v>Računalne usluge</v>
      </c>
      <c r="G13" s="186" t="s">
        <v>801</v>
      </c>
      <c r="H13" s="146" t="str">
        <f t="shared" si="5"/>
        <v>PROGRAMSKO FINANCIRANJE JAVNIH VISOKIH UČILIŠTA</v>
      </c>
      <c r="I13" s="185">
        <v>28834</v>
      </c>
      <c r="J13" s="185">
        <v>31718</v>
      </c>
      <c r="K13" s="185">
        <v>31718</v>
      </c>
      <c r="M13" s="141" t="str">
        <f t="shared" si="6"/>
        <v>323</v>
      </c>
      <c r="N13" s="141" t="str">
        <f t="shared" si="7"/>
        <v>32</v>
      </c>
      <c r="O13" s="141">
        <v>552</v>
      </c>
      <c r="P13" s="141" t="s">
        <v>1538</v>
      </c>
      <c r="R13" s="141">
        <v>3213</v>
      </c>
      <c r="S13" s="141" t="s">
        <v>104</v>
      </c>
      <c r="U13" s="141" t="str">
        <f t="shared" si="8"/>
        <v>32</v>
      </c>
      <c r="V13" s="141" t="str">
        <f t="shared" si="9"/>
        <v>321</v>
      </c>
      <c r="X13" t="s">
        <v>1215</v>
      </c>
      <c r="Y13" t="s">
        <v>1216</v>
      </c>
    </row>
    <row r="14" spans="1:25">
      <c r="A14" s="145" t="str">
        <f>IF(C14="","",VLOOKUP('Opći dio'!$C$3,'Opći dio'!$L$6:$U$136,10,FALSE))</f>
        <v>08006</v>
      </c>
      <c r="B14" s="145" t="str">
        <f>IF(C14="","",VLOOKUP('Opći dio'!$C$3,'Opći dio'!$L$6:$U$136,9,FALSE))</f>
        <v>Sveučilišta i veleučilišta u Republici Hrvatskoj</v>
      </c>
      <c r="C14" s="151">
        <v>11</v>
      </c>
      <c r="D14" s="146" t="str">
        <f t="shared" si="3"/>
        <v>Opći prihodi i primici</v>
      </c>
      <c r="E14" s="151">
        <v>3239</v>
      </c>
      <c r="F14" s="146" t="str">
        <f t="shared" si="4"/>
        <v>Ostale usluge</v>
      </c>
      <c r="G14" s="186" t="s">
        <v>801</v>
      </c>
      <c r="H14" s="146" t="str">
        <f t="shared" si="5"/>
        <v>PROGRAMSKO FINANCIRANJE JAVNIH VISOKIH UČILIŠTA</v>
      </c>
      <c r="I14" s="185">
        <v>19223</v>
      </c>
      <c r="J14" s="185">
        <v>21145</v>
      </c>
      <c r="K14" s="185">
        <v>21145</v>
      </c>
      <c r="M14" s="141" t="str">
        <f t="shared" si="6"/>
        <v>323</v>
      </c>
      <c r="N14" s="141" t="str">
        <f t="shared" si="7"/>
        <v>32</v>
      </c>
      <c r="O14" s="141">
        <v>559</v>
      </c>
      <c r="P14" s="141" t="s">
        <v>1539</v>
      </c>
      <c r="R14" s="141">
        <v>3214</v>
      </c>
      <c r="S14" s="141" t="s">
        <v>133</v>
      </c>
      <c r="U14" s="141" t="str">
        <f t="shared" si="8"/>
        <v>32</v>
      </c>
      <c r="V14" s="141" t="str">
        <f t="shared" si="9"/>
        <v>321</v>
      </c>
      <c r="X14" t="s">
        <v>2036</v>
      </c>
      <c r="Y14" t="s">
        <v>2037</v>
      </c>
    </row>
    <row r="15" spans="1:25">
      <c r="A15" s="145" t="str">
        <f>IF(C15="","",VLOOKUP('Opći dio'!$C$3,'Opći dio'!$L$6:$U$136,10,FALSE))</f>
        <v>08006</v>
      </c>
      <c r="B15" s="145" t="str">
        <f>IF(C15="","",VLOOKUP('Opći dio'!$C$3,'Opći dio'!$L$6:$U$136,9,FALSE))</f>
        <v>Sveučilišta i veleučilišta u Republici Hrvatskoj</v>
      </c>
      <c r="C15" s="151">
        <v>11</v>
      </c>
      <c r="D15" s="146" t="str">
        <f t="shared" si="3"/>
        <v>Opći prihodi i primici</v>
      </c>
      <c r="E15" s="151">
        <v>3293</v>
      </c>
      <c r="F15" s="146" t="str">
        <f t="shared" si="4"/>
        <v>Reprezentacija</v>
      </c>
      <c r="G15" s="186" t="s">
        <v>801</v>
      </c>
      <c r="H15" s="146" t="str">
        <f t="shared" si="5"/>
        <v>PROGRAMSKO FINANCIRANJE JAVNIH VISOKIH UČILIŠTA</v>
      </c>
      <c r="I15" s="185">
        <v>5767</v>
      </c>
      <c r="J15" s="185">
        <v>6344</v>
      </c>
      <c r="K15" s="185">
        <v>6344</v>
      </c>
      <c r="M15" s="141" t="str">
        <f t="shared" si="6"/>
        <v>329</v>
      </c>
      <c r="N15" s="141" t="str">
        <f t="shared" si="7"/>
        <v>32</v>
      </c>
      <c r="O15" s="141">
        <v>561</v>
      </c>
      <c r="P15" s="141" t="s">
        <v>118</v>
      </c>
      <c r="R15" s="141">
        <v>3221</v>
      </c>
      <c r="S15" s="141" t="s">
        <v>86</v>
      </c>
      <c r="U15" s="141" t="str">
        <f t="shared" si="8"/>
        <v>32</v>
      </c>
      <c r="V15" s="141" t="str">
        <f t="shared" si="9"/>
        <v>322</v>
      </c>
      <c r="X15" t="s">
        <v>2038</v>
      </c>
      <c r="Y15" t="s">
        <v>2039</v>
      </c>
    </row>
    <row r="16" spans="1:25">
      <c r="A16" s="145" t="str">
        <f>IF(C16="","",VLOOKUP('Opći dio'!$C$3,'Opći dio'!$L$6:$U$136,10,FALSE))</f>
        <v>08006</v>
      </c>
      <c r="B16" s="145" t="str">
        <f>IF(C16="","",VLOOKUP('Opći dio'!$C$3,'Opći dio'!$L$6:$U$136,9,FALSE))</f>
        <v>Sveučilišta i veleučilišta u Republici Hrvatskoj</v>
      </c>
      <c r="C16" s="151">
        <v>43</v>
      </c>
      <c r="D16" s="146" t="str">
        <f t="shared" si="3"/>
        <v>Ostali prihodi za posebne namjene</v>
      </c>
      <c r="E16" s="151">
        <v>3236</v>
      </c>
      <c r="F16" s="146" t="str">
        <f t="shared" si="4"/>
        <v>Zdravstvene i veterinarske usluge</v>
      </c>
      <c r="G16" s="186" t="s">
        <v>184</v>
      </c>
      <c r="H16" s="146" t="str">
        <f t="shared" si="5"/>
        <v>REDOVNA DJELATNOST SVEUČILIŠTA U OSIJEKU (IZ EVIDENCIJSKIH PRIHODA)</v>
      </c>
      <c r="I16" s="185">
        <v>6000</v>
      </c>
      <c r="J16" s="185">
        <v>6000</v>
      </c>
      <c r="K16" s="185">
        <v>6000</v>
      </c>
      <c r="M16" s="141" t="str">
        <f t="shared" si="6"/>
        <v>323</v>
      </c>
      <c r="N16" s="141" t="str">
        <f t="shared" si="7"/>
        <v>32</v>
      </c>
      <c r="O16" s="141">
        <v>563</v>
      </c>
      <c r="P16" s="141" t="s">
        <v>120</v>
      </c>
      <c r="R16" s="141">
        <v>3222</v>
      </c>
      <c r="S16" s="141" t="s">
        <v>107</v>
      </c>
      <c r="U16" s="141" t="str">
        <f t="shared" si="8"/>
        <v>32</v>
      </c>
      <c r="V16" s="141" t="str">
        <f t="shared" si="9"/>
        <v>322</v>
      </c>
      <c r="X16" t="s">
        <v>2040</v>
      </c>
      <c r="Y16" t="s">
        <v>2041</v>
      </c>
    </row>
    <row r="17" spans="1:25">
      <c r="A17" s="145" t="str">
        <f>IF(C17="","",VLOOKUP('Opći dio'!$C$3,'Opći dio'!$L$6:$U$136,10,FALSE))</f>
        <v>08006</v>
      </c>
      <c r="B17" s="145" t="str">
        <f>IF(C17="","",VLOOKUP('Opći dio'!$C$3,'Opći dio'!$L$6:$U$136,9,FALSE))</f>
        <v>Sveučilišta i veleučilišta u Republici Hrvatskoj</v>
      </c>
      <c r="C17" s="151">
        <v>52</v>
      </c>
      <c r="D17" s="146" t="str">
        <f t="shared" si="3"/>
        <v>Ostale pomoći</v>
      </c>
      <c r="E17" s="151">
        <v>3239</v>
      </c>
      <c r="F17" s="146" t="str">
        <f t="shared" si="4"/>
        <v>Ostale usluge</v>
      </c>
      <c r="G17" s="186" t="s">
        <v>184</v>
      </c>
      <c r="H17" s="146" t="str">
        <f t="shared" si="5"/>
        <v>REDOVNA DJELATNOST SVEUČILIŠTA U OSIJEKU (IZ EVIDENCIJSKIH PRIHODA)</v>
      </c>
      <c r="I17" s="185">
        <v>20000</v>
      </c>
      <c r="J17" s="185">
        <v>20000</v>
      </c>
      <c r="K17" s="185">
        <v>20000</v>
      </c>
      <c r="M17" s="141" t="str">
        <f t="shared" si="6"/>
        <v>323</v>
      </c>
      <c r="N17" s="141" t="str">
        <f t="shared" si="7"/>
        <v>32</v>
      </c>
      <c r="O17" s="141">
        <v>573</v>
      </c>
      <c r="P17" s="141" t="s">
        <v>1549</v>
      </c>
      <c r="R17" s="141">
        <v>3223</v>
      </c>
      <c r="S17" s="141" t="s">
        <v>95</v>
      </c>
      <c r="U17" s="141" t="str">
        <f t="shared" si="8"/>
        <v>32</v>
      </c>
      <c r="V17" s="141" t="str">
        <f t="shared" si="9"/>
        <v>322</v>
      </c>
      <c r="X17" t="s">
        <v>2042</v>
      </c>
      <c r="Y17" t="s">
        <v>1426</v>
      </c>
    </row>
    <row r="18" spans="1:25">
      <c r="A18" s="145" t="str">
        <f>IF(C18="","",VLOOKUP('Opći dio'!$C$3,'Opći dio'!$L$6:$U$136,10,FALSE))</f>
        <v>08006</v>
      </c>
      <c r="B18" s="145" t="str">
        <f>IF(C18="","",VLOOKUP('Opći dio'!$C$3,'Opći dio'!$L$6:$U$136,9,FALSE))</f>
        <v>Sveučilišta i veleučilišta u Republici Hrvatskoj</v>
      </c>
      <c r="C18" s="151">
        <v>31</v>
      </c>
      <c r="D18" s="146" t="str">
        <f t="shared" si="3"/>
        <v>Vlastiti prihodi</v>
      </c>
      <c r="E18" s="151">
        <v>3121</v>
      </c>
      <c r="F18" s="146" t="str">
        <f t="shared" si="4"/>
        <v>Ostali rashodi za zaposlene</v>
      </c>
      <c r="G18" s="186" t="s">
        <v>184</v>
      </c>
      <c r="H18" s="146" t="str">
        <f t="shared" si="5"/>
        <v>REDOVNA DJELATNOST SVEUČILIŠTA U OSIJEKU (IZ EVIDENCIJSKIH PRIHODA)</v>
      </c>
      <c r="I18" s="185">
        <v>70100</v>
      </c>
      <c r="J18" s="185">
        <v>77100</v>
      </c>
      <c r="K18" s="185">
        <v>83100</v>
      </c>
      <c r="M18" s="141" t="str">
        <f t="shared" si="6"/>
        <v>312</v>
      </c>
      <c r="N18" s="141" t="str">
        <f t="shared" si="7"/>
        <v>31</v>
      </c>
      <c r="O18" s="141">
        <v>575</v>
      </c>
      <c r="P18" s="141" t="s">
        <v>1551</v>
      </c>
      <c r="R18" s="141">
        <v>3224</v>
      </c>
      <c r="S18" s="141" t="s">
        <v>100</v>
      </c>
      <c r="U18" s="141" t="str">
        <f t="shared" si="8"/>
        <v>32</v>
      </c>
      <c r="V18" s="141" t="str">
        <f t="shared" si="9"/>
        <v>322</v>
      </c>
      <c r="X18" t="s">
        <v>2043</v>
      </c>
      <c r="Y18" t="s">
        <v>2044</v>
      </c>
    </row>
    <row r="19" spans="1:25">
      <c r="A19" s="145" t="str">
        <f>IF(C19="","",VLOOKUP('Opći dio'!$C$3,'Opći dio'!$L$6:$U$136,10,FALSE))</f>
        <v>08006</v>
      </c>
      <c r="B19" s="145" t="str">
        <f>IF(C19="","",VLOOKUP('Opći dio'!$C$3,'Opći dio'!$L$6:$U$136,9,FALSE))</f>
        <v>Sveučilišta i veleučilišta u Republici Hrvatskoj</v>
      </c>
      <c r="C19" s="151">
        <v>43</v>
      </c>
      <c r="D19" s="146" t="str">
        <f t="shared" si="3"/>
        <v>Ostali prihodi za posebne namjene</v>
      </c>
      <c r="E19" s="151">
        <v>3214</v>
      </c>
      <c r="F19" s="146" t="str">
        <f t="shared" si="4"/>
        <v>Ostale naknade troškova zaposlenima</v>
      </c>
      <c r="G19" s="186" t="s">
        <v>184</v>
      </c>
      <c r="H19" s="146" t="str">
        <f t="shared" si="5"/>
        <v>REDOVNA DJELATNOST SVEUČILIŠTA U OSIJEKU (IZ EVIDENCIJSKIH PRIHODA)</v>
      </c>
      <c r="I19" s="185">
        <v>1500</v>
      </c>
      <c r="J19" s="185">
        <v>1600</v>
      </c>
      <c r="K19" s="185">
        <v>1700</v>
      </c>
      <c r="M19" s="141" t="str">
        <f t="shared" si="6"/>
        <v>321</v>
      </c>
      <c r="N19" s="141" t="str">
        <f t="shared" si="7"/>
        <v>32</v>
      </c>
      <c r="O19" s="223">
        <v>576</v>
      </c>
      <c r="P19" s="224" t="s">
        <v>2126</v>
      </c>
      <c r="R19" s="141">
        <v>3225</v>
      </c>
      <c r="S19" s="141" t="s">
        <v>108</v>
      </c>
      <c r="U19" s="141" t="str">
        <f t="shared" si="8"/>
        <v>32</v>
      </c>
      <c r="V19" s="141" t="str">
        <f t="shared" si="9"/>
        <v>322</v>
      </c>
      <c r="X19" t="s">
        <v>1225</v>
      </c>
      <c r="Y19" t="s">
        <v>1226</v>
      </c>
    </row>
    <row r="20" spans="1:25">
      <c r="A20" s="145" t="str">
        <f>IF(C20="","",VLOOKUP('Opći dio'!$C$3,'Opći dio'!$L$6:$U$136,10,FALSE))</f>
        <v>08006</v>
      </c>
      <c r="B20" s="145" t="str">
        <f>IF(C20="","",VLOOKUP('Opći dio'!$C$3,'Opći dio'!$L$6:$U$136,9,FALSE))</f>
        <v>Sveučilišta i veleučilišta u Republici Hrvatskoj</v>
      </c>
      <c r="C20" s="151">
        <v>43</v>
      </c>
      <c r="D20" s="146" t="str">
        <f t="shared" si="3"/>
        <v>Ostali prihodi za posebne namjene</v>
      </c>
      <c r="E20" s="151">
        <v>3221</v>
      </c>
      <c r="F20" s="146" t="str">
        <f t="shared" si="4"/>
        <v>Uredski materijal i ostali materijalni rashodi</v>
      </c>
      <c r="G20" s="186" t="s">
        <v>184</v>
      </c>
      <c r="H20" s="146" t="str">
        <f t="shared" si="5"/>
        <v>REDOVNA DJELATNOST SVEUČILIŠTA U OSIJEKU (IZ EVIDENCIJSKIH PRIHODA)</v>
      </c>
      <c r="I20" s="185">
        <v>40000</v>
      </c>
      <c r="J20" s="185">
        <v>42000</v>
      </c>
      <c r="K20" s="185">
        <v>43000</v>
      </c>
      <c r="M20" s="141" t="str">
        <f t="shared" si="6"/>
        <v>322</v>
      </c>
      <c r="N20" s="141" t="str">
        <f t="shared" si="7"/>
        <v>32</v>
      </c>
      <c r="O20" s="141">
        <v>61</v>
      </c>
      <c r="P20" s="141" t="s">
        <v>122</v>
      </c>
      <c r="R20" s="141">
        <v>3226</v>
      </c>
      <c r="S20" s="141" t="s">
        <v>182</v>
      </c>
      <c r="U20" s="141" t="str">
        <f t="shared" si="8"/>
        <v>32</v>
      </c>
      <c r="V20" s="141" t="str">
        <f t="shared" si="9"/>
        <v>322</v>
      </c>
      <c r="X20" t="s">
        <v>1227</v>
      </c>
      <c r="Y20" t="s">
        <v>1228</v>
      </c>
    </row>
    <row r="21" spans="1:25">
      <c r="A21" s="145" t="str">
        <f>IF(C21="","",VLOOKUP('Opći dio'!$C$3,'Opći dio'!$L$6:$U$136,10,FALSE))</f>
        <v>08006</v>
      </c>
      <c r="B21" s="145" t="str">
        <f>IF(C21="","",VLOOKUP('Opći dio'!$C$3,'Opći dio'!$L$6:$U$136,9,FALSE))</f>
        <v>Sveučilišta i veleučilišta u Republici Hrvatskoj</v>
      </c>
      <c r="C21" s="151">
        <v>43</v>
      </c>
      <c r="D21" s="146" t="str">
        <f t="shared" si="3"/>
        <v>Ostali prihodi za posebne namjene</v>
      </c>
      <c r="E21" s="151">
        <v>3224</v>
      </c>
      <c r="F21" s="146" t="str">
        <f t="shared" si="4"/>
        <v>Materijal i dijelovi za tekuće i investicijsko održavanje</v>
      </c>
      <c r="G21" s="186" t="s">
        <v>184</v>
      </c>
      <c r="H21" s="146" t="str">
        <f t="shared" si="5"/>
        <v>REDOVNA DJELATNOST SVEUČILIŠTA U OSIJEKU (IZ EVIDENCIJSKIH PRIHODA)</v>
      </c>
      <c r="I21" s="185">
        <v>3000</v>
      </c>
      <c r="J21" s="185">
        <v>4000</v>
      </c>
      <c r="K21" s="185">
        <v>5000</v>
      </c>
      <c r="M21" s="141" t="str">
        <f t="shared" si="6"/>
        <v>322</v>
      </c>
      <c r="N21" s="141" t="str">
        <f t="shared" si="7"/>
        <v>32</v>
      </c>
      <c r="O21" s="141">
        <v>71</v>
      </c>
      <c r="P21" s="141" t="s">
        <v>180</v>
      </c>
      <c r="R21" s="141">
        <v>3227</v>
      </c>
      <c r="S21" s="141" t="s">
        <v>125</v>
      </c>
      <c r="U21" s="141" t="str">
        <f t="shared" si="8"/>
        <v>32</v>
      </c>
      <c r="V21" s="141" t="str">
        <f t="shared" si="9"/>
        <v>322</v>
      </c>
      <c r="X21" t="s">
        <v>2045</v>
      </c>
      <c r="Y21" t="s">
        <v>2046</v>
      </c>
    </row>
    <row r="22" spans="1:25">
      <c r="A22" s="145" t="str">
        <f>IF(C22="","",VLOOKUP('Opći dio'!$C$3,'Opći dio'!$L$6:$U$136,10,FALSE))</f>
        <v>08006</v>
      </c>
      <c r="B22" s="145" t="str">
        <f>IF(C22="","",VLOOKUP('Opći dio'!$C$3,'Opći dio'!$L$6:$U$136,9,FALSE))</f>
        <v>Sveučilišta i veleučilišta u Republici Hrvatskoj</v>
      </c>
      <c r="C22" s="151">
        <v>43</v>
      </c>
      <c r="D22" s="146" t="str">
        <f t="shared" si="3"/>
        <v>Ostali prihodi za posebne namjene</v>
      </c>
      <c r="E22" s="151">
        <v>3231</v>
      </c>
      <c r="F22" s="146" t="str">
        <f t="shared" si="4"/>
        <v>Usluge telefona, pošte i prijevoza</v>
      </c>
      <c r="G22" s="186" t="s">
        <v>184</v>
      </c>
      <c r="H22" s="146" t="str">
        <f t="shared" si="5"/>
        <v>REDOVNA DJELATNOST SVEUČILIŠTA U OSIJEKU (IZ EVIDENCIJSKIH PRIHODA)</v>
      </c>
      <c r="I22" s="185">
        <v>20000</v>
      </c>
      <c r="J22" s="185">
        <v>21000</v>
      </c>
      <c r="K22" s="185">
        <v>22000</v>
      </c>
      <c r="M22" s="141" t="str">
        <f t="shared" si="6"/>
        <v>323</v>
      </c>
      <c r="N22" s="141" t="str">
        <f t="shared" si="7"/>
        <v>32</v>
      </c>
      <c r="O22" s="141">
        <v>81</v>
      </c>
      <c r="P22" s="141" t="s">
        <v>63</v>
      </c>
      <c r="R22" s="141">
        <v>3231</v>
      </c>
      <c r="S22" s="141" t="s">
        <v>109</v>
      </c>
      <c r="U22" s="141" t="str">
        <f t="shared" si="8"/>
        <v>32</v>
      </c>
      <c r="V22" s="141" t="str">
        <f t="shared" si="9"/>
        <v>323</v>
      </c>
      <c r="X22" t="s">
        <v>2047</v>
      </c>
      <c r="Y22" t="s">
        <v>2048</v>
      </c>
    </row>
    <row r="23" spans="1:25">
      <c r="A23" s="145" t="str">
        <f>IF(C23="","",VLOOKUP('Opći dio'!$C$3,'Opći dio'!$L$6:$U$136,10,FALSE))</f>
        <v>08006</v>
      </c>
      <c r="B23" s="145" t="str">
        <f>IF(C23="","",VLOOKUP('Opći dio'!$C$3,'Opći dio'!$L$6:$U$136,9,FALSE))</f>
        <v>Sveučilišta i veleučilišta u Republici Hrvatskoj</v>
      </c>
      <c r="C23" s="151">
        <v>43</v>
      </c>
      <c r="D23" s="146" t="str">
        <f t="shared" si="3"/>
        <v>Ostali prihodi za posebne namjene</v>
      </c>
      <c r="E23" s="151">
        <v>3232</v>
      </c>
      <c r="F23" s="146" t="str">
        <f t="shared" si="4"/>
        <v>Usluge tekućeg i investicijskog održavanja</v>
      </c>
      <c r="G23" s="186" t="s">
        <v>184</v>
      </c>
      <c r="H23" s="146" t="str">
        <f t="shared" si="5"/>
        <v>REDOVNA DJELATNOST SVEUČILIŠTA U OSIJEKU (IZ EVIDENCIJSKIH PRIHODA)</v>
      </c>
      <c r="I23" s="185">
        <v>261850</v>
      </c>
      <c r="J23" s="185">
        <v>90000</v>
      </c>
      <c r="K23" s="185">
        <v>90000</v>
      </c>
      <c r="M23" s="141" t="str">
        <f t="shared" si="6"/>
        <v>323</v>
      </c>
      <c r="N23" s="141" t="str">
        <f t="shared" si="7"/>
        <v>32</v>
      </c>
      <c r="O23" s="141">
        <v>83</v>
      </c>
      <c r="P23" s="141" t="s">
        <v>1540</v>
      </c>
      <c r="R23" s="141">
        <v>3232</v>
      </c>
      <c r="S23" s="141" t="s">
        <v>96</v>
      </c>
      <c r="U23" s="141" t="str">
        <f t="shared" si="8"/>
        <v>32</v>
      </c>
      <c r="V23" s="141" t="str">
        <f t="shared" si="9"/>
        <v>323</v>
      </c>
      <c r="X23" t="s">
        <v>1217</v>
      </c>
      <c r="Y23" t="s">
        <v>1218</v>
      </c>
    </row>
    <row r="24" spans="1:25">
      <c r="A24" s="145" t="str">
        <f>IF(C24="","",VLOOKUP('Opći dio'!$C$3,'Opći dio'!$L$6:$U$136,10,FALSE))</f>
        <v>08006</v>
      </c>
      <c r="B24" s="145" t="str">
        <f>IF(C24="","",VLOOKUP('Opći dio'!$C$3,'Opći dio'!$L$6:$U$136,9,FALSE))</f>
        <v>Sveučilišta i veleučilišta u Republici Hrvatskoj</v>
      </c>
      <c r="C24" s="151">
        <v>43</v>
      </c>
      <c r="D24" s="146" t="str">
        <f t="shared" si="3"/>
        <v>Ostali prihodi za posebne namjene</v>
      </c>
      <c r="E24" s="151">
        <v>3233</v>
      </c>
      <c r="F24" s="146" t="str">
        <f t="shared" si="4"/>
        <v>Usluge promidžbe i informiranja</v>
      </c>
      <c r="G24" s="186" t="s">
        <v>184</v>
      </c>
      <c r="H24" s="146" t="str">
        <f t="shared" si="5"/>
        <v>REDOVNA DJELATNOST SVEUČILIŠTA U OSIJEKU (IZ EVIDENCIJSKIH PRIHODA)</v>
      </c>
      <c r="I24" s="185">
        <v>30000</v>
      </c>
      <c r="J24" s="185">
        <v>31000</v>
      </c>
      <c r="K24" s="185">
        <v>31000</v>
      </c>
      <c r="M24" s="141" t="str">
        <f t="shared" si="6"/>
        <v>323</v>
      </c>
      <c r="N24" s="141" t="str">
        <f t="shared" si="7"/>
        <v>32</v>
      </c>
      <c r="R24" s="141">
        <v>3233</v>
      </c>
      <c r="S24" s="141" t="s">
        <v>84</v>
      </c>
      <c r="U24" s="141" t="str">
        <f t="shared" si="8"/>
        <v>32</v>
      </c>
      <c r="V24" s="141" t="str">
        <f t="shared" si="9"/>
        <v>323</v>
      </c>
      <c r="X24" t="s">
        <v>1219</v>
      </c>
      <c r="Y24" t="s">
        <v>1220</v>
      </c>
    </row>
    <row r="25" spans="1:25">
      <c r="A25" s="145" t="str">
        <f>IF(C25="","",VLOOKUP('Opći dio'!$C$3,'Opći dio'!$L$6:$U$136,10,FALSE))</f>
        <v>08006</v>
      </c>
      <c r="B25" s="145" t="str">
        <f>IF(C25="","",VLOOKUP('Opći dio'!$C$3,'Opći dio'!$L$6:$U$136,9,FALSE))</f>
        <v>Sveučilišta i veleučilišta u Republici Hrvatskoj</v>
      </c>
      <c r="C25" s="151">
        <v>43</v>
      </c>
      <c r="D25" s="146" t="str">
        <f t="shared" si="3"/>
        <v>Ostali prihodi za posebne namjene</v>
      </c>
      <c r="E25" s="151">
        <v>3234</v>
      </c>
      <c r="F25" s="146" t="str">
        <f t="shared" si="4"/>
        <v>Komunalne usluge</v>
      </c>
      <c r="G25" s="186" t="s">
        <v>184</v>
      </c>
      <c r="H25" s="146" t="str">
        <f t="shared" si="5"/>
        <v>REDOVNA DJELATNOST SVEUČILIŠTA U OSIJEKU (IZ EVIDENCIJSKIH PRIHODA)</v>
      </c>
      <c r="I25" s="185">
        <v>40000</v>
      </c>
      <c r="J25" s="185">
        <v>42000</v>
      </c>
      <c r="K25" s="185">
        <v>43000</v>
      </c>
      <c r="M25" s="141" t="str">
        <f t="shared" si="6"/>
        <v>323</v>
      </c>
      <c r="N25" s="141" t="str">
        <f t="shared" si="7"/>
        <v>32</v>
      </c>
      <c r="R25" s="141">
        <v>3234</v>
      </c>
      <c r="S25" s="141" t="s">
        <v>97</v>
      </c>
      <c r="U25" s="141" t="str">
        <f t="shared" si="8"/>
        <v>32</v>
      </c>
      <c r="V25" s="141" t="str">
        <f t="shared" si="9"/>
        <v>323</v>
      </c>
      <c r="X25" t="s">
        <v>1229</v>
      </c>
      <c r="Y25" t="s">
        <v>1230</v>
      </c>
    </row>
    <row r="26" spans="1:25">
      <c r="A26" s="145" t="str">
        <f>IF(C26="","",VLOOKUP('Opći dio'!$C$3,'Opći dio'!$L$6:$U$136,10,FALSE))</f>
        <v>08006</v>
      </c>
      <c r="B26" s="145" t="str">
        <f>IF(C26="","",VLOOKUP('Opći dio'!$C$3,'Opći dio'!$L$6:$U$136,9,FALSE))</f>
        <v>Sveučilišta i veleučilišta u Republici Hrvatskoj</v>
      </c>
      <c r="C26" s="151">
        <v>43</v>
      </c>
      <c r="D26" s="146" t="str">
        <f t="shared" si="3"/>
        <v>Ostali prihodi za posebne namjene</v>
      </c>
      <c r="E26" s="151">
        <v>3239</v>
      </c>
      <c r="F26" s="146" t="str">
        <f t="shared" si="4"/>
        <v>Ostale usluge</v>
      </c>
      <c r="G26" s="186" t="s">
        <v>184</v>
      </c>
      <c r="H26" s="146" t="str">
        <f t="shared" si="5"/>
        <v>REDOVNA DJELATNOST SVEUČILIŠTA U OSIJEKU (IZ EVIDENCIJSKIH PRIHODA)</v>
      </c>
      <c r="I26" s="185">
        <v>30000</v>
      </c>
      <c r="J26" s="185">
        <v>32000</v>
      </c>
      <c r="K26" s="185">
        <v>33000</v>
      </c>
      <c r="M26" s="141" t="str">
        <f t="shared" si="6"/>
        <v>323</v>
      </c>
      <c r="N26" s="141" t="str">
        <f t="shared" si="7"/>
        <v>32</v>
      </c>
      <c r="R26" s="141">
        <v>3235</v>
      </c>
      <c r="S26" s="141" t="s">
        <v>117</v>
      </c>
      <c r="U26" s="141" t="str">
        <f t="shared" si="8"/>
        <v>32</v>
      </c>
      <c r="V26" s="141" t="str">
        <f t="shared" si="9"/>
        <v>323</v>
      </c>
      <c r="X26" t="s">
        <v>2049</v>
      </c>
      <c r="Y26" t="s">
        <v>2050</v>
      </c>
    </row>
    <row r="27" spans="1:25">
      <c r="A27" s="145" t="str">
        <f>IF(C27="","",VLOOKUP('Opći dio'!$C$3,'Opći dio'!$L$6:$U$136,10,FALSE))</f>
        <v>08006</v>
      </c>
      <c r="B27" s="145" t="str">
        <f>IF(C27="","",VLOOKUP('Opći dio'!$C$3,'Opći dio'!$L$6:$U$136,9,FALSE))</f>
        <v>Sveučilišta i veleučilišta u Republici Hrvatskoj</v>
      </c>
      <c r="C27" s="151">
        <v>43</v>
      </c>
      <c r="D27" s="146" t="str">
        <f t="shared" si="3"/>
        <v>Ostali prihodi za posebne namjene</v>
      </c>
      <c r="E27" s="151">
        <v>3293</v>
      </c>
      <c r="F27" s="146" t="str">
        <f t="shared" si="4"/>
        <v>Reprezentacija</v>
      </c>
      <c r="G27" s="186" t="s">
        <v>184</v>
      </c>
      <c r="H27" s="146" t="str">
        <f t="shared" si="5"/>
        <v>REDOVNA DJELATNOST SVEUČILIŠTA U OSIJEKU (IZ EVIDENCIJSKIH PRIHODA)</v>
      </c>
      <c r="I27" s="185">
        <v>30000</v>
      </c>
      <c r="J27" s="185">
        <v>32000</v>
      </c>
      <c r="K27" s="185">
        <v>35000</v>
      </c>
      <c r="M27" s="141" t="str">
        <f t="shared" si="6"/>
        <v>329</v>
      </c>
      <c r="N27" s="141" t="str">
        <f t="shared" si="7"/>
        <v>32</v>
      </c>
      <c r="R27" s="141">
        <v>3236</v>
      </c>
      <c r="S27" s="141" t="s">
        <v>60</v>
      </c>
      <c r="U27" s="141" t="str">
        <f t="shared" si="8"/>
        <v>32</v>
      </c>
      <c r="V27" s="141" t="str">
        <f t="shared" si="9"/>
        <v>323</v>
      </c>
      <c r="X27" t="s">
        <v>2051</v>
      </c>
      <c r="Y27" t="s">
        <v>2052</v>
      </c>
    </row>
    <row r="28" spans="1:25">
      <c r="A28" s="145" t="str">
        <f>IF(C28="","",VLOOKUP('Opći dio'!$C$3,'Opći dio'!$L$6:$U$136,10,FALSE))</f>
        <v>08006</v>
      </c>
      <c r="B28" s="145" t="str">
        <f>IF(C28="","",VLOOKUP('Opći dio'!$C$3,'Opći dio'!$L$6:$U$136,9,FALSE))</f>
        <v>Sveučilišta i veleučilišta u Republici Hrvatskoj</v>
      </c>
      <c r="C28" s="151">
        <v>43</v>
      </c>
      <c r="D28" s="146" t="str">
        <f t="shared" si="3"/>
        <v>Ostali prihodi za posebne namjene</v>
      </c>
      <c r="E28" s="151">
        <v>3294</v>
      </c>
      <c r="F28" s="146" t="str">
        <f t="shared" si="4"/>
        <v>Članarine i norme</v>
      </c>
      <c r="G28" s="186" t="s">
        <v>184</v>
      </c>
      <c r="H28" s="146" t="str">
        <f t="shared" si="5"/>
        <v>REDOVNA DJELATNOST SVEUČILIŠTA U OSIJEKU (IZ EVIDENCIJSKIH PRIHODA)</v>
      </c>
      <c r="I28" s="185">
        <v>650</v>
      </c>
      <c r="J28" s="185">
        <v>650</v>
      </c>
      <c r="K28" s="185">
        <v>650</v>
      </c>
      <c r="M28" s="141" t="str">
        <f t="shared" si="6"/>
        <v>329</v>
      </c>
      <c r="N28" s="141" t="str">
        <f t="shared" si="7"/>
        <v>32</v>
      </c>
      <c r="R28" s="141">
        <v>3237</v>
      </c>
      <c r="S28" s="141" t="s">
        <v>73</v>
      </c>
      <c r="U28" s="141" t="str">
        <f t="shared" si="8"/>
        <v>32</v>
      </c>
      <c r="V28" s="141" t="str">
        <f t="shared" si="9"/>
        <v>323</v>
      </c>
      <c r="X28" t="s">
        <v>2053</v>
      </c>
      <c r="Y28" t="s">
        <v>2054</v>
      </c>
    </row>
    <row r="29" spans="1:25">
      <c r="A29" s="145" t="str">
        <f>IF(C29="","",VLOOKUP('Opći dio'!$C$3,'Opći dio'!$L$6:$U$136,10,FALSE))</f>
        <v>08006</v>
      </c>
      <c r="B29" s="145" t="str">
        <f>IF(C29="","",VLOOKUP('Opći dio'!$C$3,'Opći dio'!$L$6:$U$136,9,FALSE))</f>
        <v>Sveučilišta i veleučilišta u Republici Hrvatskoj</v>
      </c>
      <c r="C29" s="151">
        <v>43</v>
      </c>
      <c r="D29" s="146" t="str">
        <f t="shared" si="3"/>
        <v>Ostali prihodi za posebne namjene</v>
      </c>
      <c r="E29" s="151">
        <v>3295</v>
      </c>
      <c r="F29" s="146" t="str">
        <f t="shared" si="4"/>
        <v>Pristojbe i naknade</v>
      </c>
      <c r="G29" s="186" t="s">
        <v>184</v>
      </c>
      <c r="H29" s="146" t="str">
        <f t="shared" si="5"/>
        <v>REDOVNA DJELATNOST SVEUČILIŠTA U OSIJEKU (IZ EVIDENCIJSKIH PRIHODA)</v>
      </c>
      <c r="I29" s="185">
        <v>1000</v>
      </c>
      <c r="J29" s="185">
        <v>1000</v>
      </c>
      <c r="K29" s="185">
        <v>1000</v>
      </c>
      <c r="M29" s="141" t="str">
        <f t="shared" si="6"/>
        <v>329</v>
      </c>
      <c r="N29" s="141" t="str">
        <f t="shared" si="7"/>
        <v>32</v>
      </c>
      <c r="R29" s="141">
        <v>3238</v>
      </c>
      <c r="S29" s="141" t="s">
        <v>110</v>
      </c>
      <c r="U29" s="141" t="str">
        <f t="shared" si="8"/>
        <v>32</v>
      </c>
      <c r="V29" s="141" t="str">
        <f t="shared" si="9"/>
        <v>323</v>
      </c>
      <c r="X29" t="s">
        <v>1234</v>
      </c>
      <c r="Y29" t="s">
        <v>1235</v>
      </c>
    </row>
    <row r="30" spans="1:25">
      <c r="A30" s="145" t="str">
        <f>IF(C30="","",VLOOKUP('Opći dio'!$C$3,'Opći dio'!$L$6:$U$136,10,FALSE))</f>
        <v>08006</v>
      </c>
      <c r="B30" s="145" t="str">
        <f>IF(C30="","",VLOOKUP('Opći dio'!$C$3,'Opći dio'!$L$6:$U$136,9,FALSE))</f>
        <v>Sveučilišta i veleučilišta u Republici Hrvatskoj</v>
      </c>
      <c r="C30" s="151">
        <v>43</v>
      </c>
      <c r="D30" s="146" t="str">
        <f t="shared" si="3"/>
        <v>Ostali prihodi za posebne namjene</v>
      </c>
      <c r="E30" s="151">
        <v>3299</v>
      </c>
      <c r="F30" s="146" t="str">
        <f t="shared" si="4"/>
        <v>Ostali nespomenuti rashodi poslovanja</v>
      </c>
      <c r="G30" s="186" t="s">
        <v>184</v>
      </c>
      <c r="H30" s="146" t="str">
        <f t="shared" si="5"/>
        <v>REDOVNA DJELATNOST SVEUČILIŠTA U OSIJEKU (IZ EVIDENCIJSKIH PRIHODA)</v>
      </c>
      <c r="I30" s="185">
        <v>10000</v>
      </c>
      <c r="J30" s="185">
        <v>13000</v>
      </c>
      <c r="K30" s="185">
        <v>14000</v>
      </c>
      <c r="M30" s="141" t="str">
        <f t="shared" si="6"/>
        <v>329</v>
      </c>
      <c r="N30" s="141" t="str">
        <f t="shared" si="7"/>
        <v>32</v>
      </c>
      <c r="R30" s="141">
        <v>3239</v>
      </c>
      <c r="S30" s="141" t="s">
        <v>90</v>
      </c>
      <c r="U30" s="141" t="str">
        <f t="shared" si="8"/>
        <v>32</v>
      </c>
      <c r="V30" s="141" t="str">
        <f t="shared" si="9"/>
        <v>323</v>
      </c>
      <c r="X30" t="s">
        <v>2055</v>
      </c>
      <c r="Y30" t="s">
        <v>2056</v>
      </c>
    </row>
    <row r="31" spans="1:25">
      <c r="A31" s="145" t="str">
        <f>IF(C31="","",VLOOKUP('Opći dio'!$C$3,'Opći dio'!$L$6:$U$136,10,FALSE))</f>
        <v>08006</v>
      </c>
      <c r="B31" s="145" t="str">
        <f>IF(C31="","",VLOOKUP('Opći dio'!$C$3,'Opći dio'!$L$6:$U$136,9,FALSE))</f>
        <v>Sveučilišta i veleučilišta u Republici Hrvatskoj</v>
      </c>
      <c r="C31" s="151">
        <v>43</v>
      </c>
      <c r="D31" s="146" t="str">
        <f t="shared" si="3"/>
        <v>Ostali prihodi za posebne namjene</v>
      </c>
      <c r="E31" s="151">
        <v>3431</v>
      </c>
      <c r="F31" s="146" t="str">
        <f t="shared" si="4"/>
        <v>Bankarske usluge i usluge platnog prometa</v>
      </c>
      <c r="G31" s="186" t="s">
        <v>184</v>
      </c>
      <c r="H31" s="146" t="str">
        <f t="shared" si="5"/>
        <v>REDOVNA DJELATNOST SVEUČILIŠTA U OSIJEKU (IZ EVIDENCIJSKIH PRIHODA)</v>
      </c>
      <c r="I31" s="185">
        <v>4000</v>
      </c>
      <c r="J31" s="185">
        <v>4000</v>
      </c>
      <c r="K31" s="185">
        <v>4000</v>
      </c>
      <c r="M31" s="141" t="str">
        <f t="shared" si="6"/>
        <v>343</v>
      </c>
      <c r="N31" s="141" t="str">
        <f t="shared" si="7"/>
        <v>34</v>
      </c>
      <c r="R31" s="141">
        <v>3241</v>
      </c>
      <c r="S31" s="141" t="s">
        <v>87</v>
      </c>
      <c r="U31" s="141" t="str">
        <f t="shared" si="8"/>
        <v>32</v>
      </c>
      <c r="V31" s="141" t="str">
        <f t="shared" si="9"/>
        <v>324</v>
      </c>
      <c r="X31" t="s">
        <v>1231</v>
      </c>
      <c r="Y31" t="s">
        <v>1232</v>
      </c>
    </row>
    <row r="32" spans="1:25">
      <c r="A32" s="145" t="str">
        <f>IF(C32="","",VLOOKUP('Opći dio'!$C$3,'Opći dio'!$L$6:$U$136,10,FALSE))</f>
        <v>08006</v>
      </c>
      <c r="B32" s="145" t="str">
        <f>IF(C32="","",VLOOKUP('Opći dio'!$C$3,'Opći dio'!$L$6:$U$136,9,FALSE))</f>
        <v>Sveučilišta i veleučilišta u Republici Hrvatskoj</v>
      </c>
      <c r="C32" s="151">
        <v>43</v>
      </c>
      <c r="D32" s="146" t="str">
        <f t="shared" si="3"/>
        <v>Ostali prihodi za posebne namjene</v>
      </c>
      <c r="E32" s="151">
        <v>3721</v>
      </c>
      <c r="F32" s="146" t="str">
        <f t="shared" si="4"/>
        <v>Naknade građanima i kućanstvima u novcu</v>
      </c>
      <c r="G32" s="186" t="s">
        <v>184</v>
      </c>
      <c r="H32" s="146" t="str">
        <f t="shared" si="5"/>
        <v>REDOVNA DJELATNOST SVEUČILIŠTA U OSIJEKU (IZ EVIDENCIJSKIH PRIHODA)</v>
      </c>
      <c r="I32" s="185">
        <v>12000</v>
      </c>
      <c r="J32" s="185">
        <v>12000</v>
      </c>
      <c r="K32" s="185">
        <v>12000</v>
      </c>
      <c r="M32" s="141" t="str">
        <f t="shared" si="6"/>
        <v>372</v>
      </c>
      <c r="N32" s="141" t="str">
        <f t="shared" si="7"/>
        <v>37</v>
      </c>
      <c r="R32" s="141">
        <v>3291</v>
      </c>
      <c r="S32" s="141" t="s">
        <v>88</v>
      </c>
      <c r="U32" s="141" t="str">
        <f t="shared" si="8"/>
        <v>32</v>
      </c>
      <c r="V32" s="141" t="str">
        <f t="shared" si="9"/>
        <v>329</v>
      </c>
      <c r="X32" t="s">
        <v>1221</v>
      </c>
      <c r="Y32" t="s">
        <v>1222</v>
      </c>
    </row>
    <row r="33" spans="1:25">
      <c r="A33" s="145" t="str">
        <f>IF(C33="","",VLOOKUP('Opći dio'!$C$3,'Opći dio'!$L$6:$U$136,10,FALSE))</f>
        <v>08006</v>
      </c>
      <c r="B33" s="145" t="str">
        <f>IF(C33="","",VLOOKUP('Opći dio'!$C$3,'Opći dio'!$L$6:$U$136,9,FALSE))</f>
        <v>Sveučilišta i veleučilišta u Republici Hrvatskoj</v>
      </c>
      <c r="C33" s="151">
        <v>43</v>
      </c>
      <c r="D33" s="146" t="str">
        <f t="shared" si="3"/>
        <v>Ostali prihodi za posebne namjene</v>
      </c>
      <c r="E33" s="151">
        <v>4221</v>
      </c>
      <c r="F33" s="146" t="str">
        <f t="shared" si="4"/>
        <v>Uredska oprema i namještaj</v>
      </c>
      <c r="G33" s="186" t="s">
        <v>184</v>
      </c>
      <c r="H33" s="146" t="str">
        <f t="shared" si="5"/>
        <v>REDOVNA DJELATNOST SVEUČILIŠTA U OSIJEKU (IZ EVIDENCIJSKIH PRIHODA)</v>
      </c>
      <c r="I33" s="185">
        <v>40000</v>
      </c>
      <c r="J33" s="185">
        <v>40000</v>
      </c>
      <c r="K33" s="185">
        <v>40000</v>
      </c>
      <c r="M33" s="141" t="str">
        <f t="shared" si="6"/>
        <v>422</v>
      </c>
      <c r="N33" s="141" t="str">
        <f t="shared" si="7"/>
        <v>42</v>
      </c>
      <c r="R33" s="141">
        <v>3292</v>
      </c>
      <c r="S33" s="141" t="s">
        <v>81</v>
      </c>
      <c r="U33" s="141" t="str">
        <f t="shared" si="8"/>
        <v>32</v>
      </c>
      <c r="V33" s="141" t="str">
        <f t="shared" si="9"/>
        <v>329</v>
      </c>
      <c r="X33" t="s">
        <v>2057</v>
      </c>
      <c r="Y33" t="s">
        <v>2058</v>
      </c>
    </row>
    <row r="34" spans="1:25">
      <c r="A34" s="145" t="str">
        <f>IF(C34="","",VLOOKUP('Opći dio'!$C$3,'Opći dio'!$L$6:$U$136,10,FALSE))</f>
        <v>08006</v>
      </c>
      <c r="B34" s="145" t="str">
        <f>IF(C34="","",VLOOKUP('Opći dio'!$C$3,'Opći dio'!$L$6:$U$136,9,FALSE))</f>
        <v>Sveučilišta i veleučilišta u Republici Hrvatskoj</v>
      </c>
      <c r="C34" s="151">
        <v>43</v>
      </c>
      <c r="D34" s="146" t="str">
        <f t="shared" si="3"/>
        <v>Ostali prihodi za posebne namjene</v>
      </c>
      <c r="E34" s="151">
        <v>4241</v>
      </c>
      <c r="F34" s="146" t="str">
        <f t="shared" si="4"/>
        <v>Knjige</v>
      </c>
      <c r="G34" s="186" t="s">
        <v>184</v>
      </c>
      <c r="H34" s="146" t="str">
        <f t="shared" si="5"/>
        <v>REDOVNA DJELATNOST SVEUČILIŠTA U OSIJEKU (IZ EVIDENCIJSKIH PRIHODA)</v>
      </c>
      <c r="I34" s="185">
        <v>20000</v>
      </c>
      <c r="J34" s="185">
        <v>20000</v>
      </c>
      <c r="K34" s="185">
        <v>20000</v>
      </c>
      <c r="M34" s="141" t="str">
        <f t="shared" si="6"/>
        <v>424</v>
      </c>
      <c r="N34" s="141" t="str">
        <f t="shared" si="7"/>
        <v>42</v>
      </c>
      <c r="R34" s="141">
        <v>3293</v>
      </c>
      <c r="S34" s="141" t="s">
        <v>91</v>
      </c>
      <c r="U34" s="141" t="str">
        <f t="shared" si="8"/>
        <v>32</v>
      </c>
      <c r="V34" s="141" t="str">
        <f t="shared" si="9"/>
        <v>329</v>
      </c>
      <c r="X34" t="s">
        <v>2059</v>
      </c>
      <c r="Y34" t="s">
        <v>2060</v>
      </c>
    </row>
    <row r="35" spans="1:25">
      <c r="A35" s="145" t="str">
        <f>IF(C35="","",VLOOKUP('Opći dio'!$C$3,'Opći dio'!$L$6:$U$136,10,FALSE))</f>
        <v/>
      </c>
      <c r="B35" s="145" t="str">
        <f>IF(C35="","",VLOOKUP('Opći dio'!$C$3,'Opći dio'!$L$6:$U$136,9,FALSE))</f>
        <v/>
      </c>
      <c r="C35" s="151"/>
      <c r="D35" s="146" t="str">
        <f t="shared" si="3"/>
        <v/>
      </c>
      <c r="E35" s="151"/>
      <c r="F35" s="146" t="str">
        <f t="shared" si="4"/>
        <v/>
      </c>
      <c r="G35" s="186"/>
      <c r="H35" s="146" t="str">
        <f t="shared" si="5"/>
        <v/>
      </c>
      <c r="I35" s="185"/>
      <c r="J35" s="185"/>
      <c r="K35" s="185"/>
      <c r="M35" s="141" t="str">
        <f t="shared" si="6"/>
        <v/>
      </c>
      <c r="N35" s="141" t="str">
        <f t="shared" si="7"/>
        <v/>
      </c>
      <c r="R35" s="141">
        <v>3293</v>
      </c>
      <c r="S35" s="141" t="s">
        <v>138</v>
      </c>
      <c r="U35" s="141" t="str">
        <f t="shared" si="8"/>
        <v>32</v>
      </c>
      <c r="V35" s="141" t="str">
        <f t="shared" si="9"/>
        <v>329</v>
      </c>
      <c r="X35" t="s">
        <v>2061</v>
      </c>
      <c r="Y35" t="s">
        <v>2062</v>
      </c>
    </row>
    <row r="36" spans="1:25">
      <c r="A36" s="145" t="str">
        <f>IF(C36="","",VLOOKUP('Opći dio'!$C$3,'Opći dio'!$L$6:$U$136,10,FALSE))</f>
        <v/>
      </c>
      <c r="B36" s="145" t="str">
        <f>IF(C36="","",VLOOKUP('Opći dio'!$C$3,'Opći dio'!$L$6:$U$136,9,FALSE))</f>
        <v/>
      </c>
      <c r="C36" s="151"/>
      <c r="D36" s="146" t="str">
        <f t="shared" si="3"/>
        <v/>
      </c>
      <c r="E36" s="151"/>
      <c r="F36" s="146" t="str">
        <f t="shared" si="4"/>
        <v/>
      </c>
      <c r="G36" s="186"/>
      <c r="H36" s="146" t="str">
        <f t="shared" si="5"/>
        <v/>
      </c>
      <c r="I36" s="185"/>
      <c r="J36" s="185"/>
      <c r="K36" s="185"/>
      <c r="M36" s="141" t="str">
        <f t="shared" si="6"/>
        <v/>
      </c>
      <c r="N36" s="141" t="str">
        <f t="shared" si="7"/>
        <v/>
      </c>
      <c r="R36" s="141">
        <v>3294</v>
      </c>
      <c r="S36" s="141" t="s">
        <v>92</v>
      </c>
      <c r="U36" s="141" t="str">
        <f t="shared" si="8"/>
        <v>32</v>
      </c>
      <c r="V36" s="141" t="str">
        <f t="shared" si="9"/>
        <v>329</v>
      </c>
      <c r="X36" t="s">
        <v>2063</v>
      </c>
      <c r="Y36" t="s">
        <v>2064</v>
      </c>
    </row>
    <row r="37" spans="1:25">
      <c r="A37" s="145" t="str">
        <f>IF(C37="","",VLOOKUP('Opći dio'!$C$3,'Opći dio'!$L$6:$U$136,10,FALSE))</f>
        <v/>
      </c>
      <c r="B37" s="145" t="str">
        <f>IF(C37="","",VLOOKUP('Opći dio'!$C$3,'Opći dio'!$L$6:$U$136,9,FALSE))</f>
        <v/>
      </c>
      <c r="C37" s="151"/>
      <c r="D37" s="146" t="str">
        <f t="shared" si="3"/>
        <v/>
      </c>
      <c r="E37" s="151"/>
      <c r="F37" s="146" t="str">
        <f t="shared" si="4"/>
        <v/>
      </c>
      <c r="G37" s="186"/>
      <c r="H37" s="146" t="str">
        <f t="shared" si="5"/>
        <v/>
      </c>
      <c r="I37" s="185"/>
      <c r="J37" s="185"/>
      <c r="K37" s="185"/>
      <c r="M37" s="141" t="str">
        <f t="shared" si="6"/>
        <v/>
      </c>
      <c r="N37" s="141" t="str">
        <f t="shared" si="7"/>
        <v/>
      </c>
      <c r="R37" s="141">
        <v>3295</v>
      </c>
      <c r="S37" s="141" t="s">
        <v>61</v>
      </c>
      <c r="U37" s="141" t="str">
        <f t="shared" si="8"/>
        <v>32</v>
      </c>
      <c r="V37" s="141" t="str">
        <f t="shared" si="9"/>
        <v>329</v>
      </c>
      <c r="X37" t="s">
        <v>1233</v>
      </c>
      <c r="Y37" t="s">
        <v>2065</v>
      </c>
    </row>
    <row r="38" spans="1:25">
      <c r="A38" s="145" t="str">
        <f>IF(C38="","",VLOOKUP('Opći dio'!$C$3,'Opći dio'!$L$6:$U$136,10,FALSE))</f>
        <v/>
      </c>
      <c r="B38" s="145" t="str">
        <f>IF(C38="","",VLOOKUP('Opći dio'!$C$3,'Opći dio'!$L$6:$U$136,9,FALSE))</f>
        <v/>
      </c>
      <c r="C38" s="151"/>
      <c r="D38" s="146" t="str">
        <f t="shared" si="3"/>
        <v/>
      </c>
      <c r="E38" s="151"/>
      <c r="F38" s="146" t="str">
        <f t="shared" si="4"/>
        <v/>
      </c>
      <c r="G38" s="186"/>
      <c r="H38" s="146" t="str">
        <f t="shared" si="5"/>
        <v/>
      </c>
      <c r="I38" s="185"/>
      <c r="J38" s="185"/>
      <c r="K38" s="185"/>
      <c r="M38" s="141" t="str">
        <f t="shared" si="6"/>
        <v/>
      </c>
      <c r="N38" s="141" t="str">
        <f t="shared" si="7"/>
        <v/>
      </c>
      <c r="R38" s="141">
        <v>3296</v>
      </c>
      <c r="S38" s="141" t="s">
        <v>155</v>
      </c>
      <c r="U38" s="141" t="str">
        <f t="shared" si="8"/>
        <v>32</v>
      </c>
      <c r="V38" s="141" t="str">
        <f t="shared" si="9"/>
        <v>329</v>
      </c>
      <c r="X38" t="s">
        <v>2066</v>
      </c>
      <c r="Y38" t="s">
        <v>2067</v>
      </c>
    </row>
    <row r="39" spans="1:25">
      <c r="A39" s="145" t="str">
        <f>IF(C39="","",VLOOKUP('Opći dio'!$C$3,'Opći dio'!$L$6:$U$136,10,FALSE))</f>
        <v/>
      </c>
      <c r="B39" s="145" t="str">
        <f>IF(C39="","",VLOOKUP('Opći dio'!$C$3,'Opći dio'!$L$6:$U$136,9,FALSE))</f>
        <v/>
      </c>
      <c r="C39" s="151"/>
      <c r="D39" s="146" t="str">
        <f t="shared" si="3"/>
        <v/>
      </c>
      <c r="E39" s="151"/>
      <c r="F39" s="146" t="str">
        <f t="shared" si="4"/>
        <v/>
      </c>
      <c r="G39" s="186"/>
      <c r="H39" s="146" t="str">
        <f t="shared" si="5"/>
        <v/>
      </c>
      <c r="I39" s="185"/>
      <c r="J39" s="185"/>
      <c r="K39" s="185"/>
      <c r="M39" s="141" t="str">
        <f t="shared" si="6"/>
        <v/>
      </c>
      <c r="N39" s="141" t="str">
        <f t="shared" si="7"/>
        <v/>
      </c>
      <c r="R39" s="141">
        <v>3299</v>
      </c>
      <c r="S39" s="141" t="s">
        <v>64</v>
      </c>
      <c r="U39" s="141" t="str">
        <f t="shared" si="8"/>
        <v>32</v>
      </c>
      <c r="V39" s="141" t="str">
        <f t="shared" si="9"/>
        <v>329</v>
      </c>
      <c r="X39" t="s">
        <v>1224</v>
      </c>
      <c r="Y39" t="s">
        <v>813</v>
      </c>
    </row>
    <row r="40" spans="1:25">
      <c r="A40" s="145" t="str">
        <f>IF(C40="","",VLOOKUP('Opći dio'!$C$3,'Opći dio'!$L$6:$U$136,10,FALSE))</f>
        <v/>
      </c>
      <c r="B40" s="145" t="str">
        <f>IF(C40="","",VLOOKUP('Opći dio'!$C$3,'Opći dio'!$L$6:$U$136,9,FALSE))</f>
        <v/>
      </c>
      <c r="C40" s="151"/>
      <c r="D40" s="146" t="str">
        <f t="shared" si="3"/>
        <v/>
      </c>
      <c r="E40" s="151"/>
      <c r="F40" s="146" t="str">
        <f t="shared" si="4"/>
        <v/>
      </c>
      <c r="G40" s="186"/>
      <c r="H40" s="146" t="str">
        <f t="shared" si="5"/>
        <v/>
      </c>
      <c r="I40" s="185"/>
      <c r="J40" s="185"/>
      <c r="K40" s="185"/>
      <c r="M40" s="141" t="str">
        <f t="shared" si="6"/>
        <v/>
      </c>
      <c r="N40" s="141" t="str">
        <f t="shared" si="7"/>
        <v/>
      </c>
      <c r="R40" s="141">
        <v>3411</v>
      </c>
      <c r="S40" s="141" t="s">
        <v>193</v>
      </c>
      <c r="U40" s="141" t="str">
        <f t="shared" si="8"/>
        <v>34</v>
      </c>
      <c r="V40" s="141" t="str">
        <f t="shared" si="9"/>
        <v>341</v>
      </c>
      <c r="X40" t="s">
        <v>2068</v>
      </c>
      <c r="Y40" t="s">
        <v>2069</v>
      </c>
    </row>
    <row r="41" spans="1:25">
      <c r="A41" s="145" t="str">
        <f>IF(C41="","",VLOOKUP('Opći dio'!$C$3,'Opći dio'!$L$6:$U$136,10,FALSE))</f>
        <v/>
      </c>
      <c r="B41" s="145" t="str">
        <f>IF(C41="","",VLOOKUP('Opći dio'!$C$3,'Opći dio'!$L$6:$U$136,9,FALSE))</f>
        <v/>
      </c>
      <c r="C41" s="151"/>
      <c r="D41" s="146" t="str">
        <f t="shared" si="3"/>
        <v/>
      </c>
      <c r="E41" s="151"/>
      <c r="F41" s="146" t="str">
        <f t="shared" si="4"/>
        <v/>
      </c>
      <c r="G41" s="186"/>
      <c r="H41" s="146" t="str">
        <f t="shared" si="5"/>
        <v/>
      </c>
      <c r="I41" s="185"/>
      <c r="J41" s="185"/>
      <c r="K41" s="185"/>
      <c r="M41" s="141" t="str">
        <f t="shared" si="6"/>
        <v/>
      </c>
      <c r="N41" s="141" t="str">
        <f t="shared" si="7"/>
        <v/>
      </c>
      <c r="R41" s="141">
        <v>3422</v>
      </c>
      <c r="S41" s="141" t="s">
        <v>156</v>
      </c>
      <c r="U41" s="141" t="str">
        <f t="shared" si="8"/>
        <v>34</v>
      </c>
      <c r="V41" s="141" t="str">
        <f t="shared" si="9"/>
        <v>342</v>
      </c>
      <c r="X41" t="s">
        <v>2124</v>
      </c>
      <c r="Y41" t="s">
        <v>2125</v>
      </c>
    </row>
    <row r="42" spans="1:25">
      <c r="A42" s="145" t="str">
        <f>IF(C42="","",VLOOKUP('Opći dio'!$C$3,'Opći dio'!$L$6:$U$136,10,FALSE))</f>
        <v/>
      </c>
      <c r="B42" s="145" t="str">
        <f>IF(C42="","",VLOOKUP('Opći dio'!$C$3,'Opći dio'!$L$6:$U$136,9,FALSE))</f>
        <v/>
      </c>
      <c r="C42" s="151"/>
      <c r="D42" s="146" t="str">
        <f t="shared" si="3"/>
        <v/>
      </c>
      <c r="E42" s="151"/>
      <c r="F42" s="146" t="str">
        <f t="shared" si="4"/>
        <v/>
      </c>
      <c r="G42" s="186"/>
      <c r="H42" s="146" t="str">
        <f t="shared" si="5"/>
        <v/>
      </c>
      <c r="I42" s="185"/>
      <c r="J42" s="185"/>
      <c r="K42" s="185"/>
      <c r="M42" s="141" t="str">
        <f t="shared" si="6"/>
        <v/>
      </c>
      <c r="N42" s="141" t="str">
        <f t="shared" si="7"/>
        <v/>
      </c>
      <c r="R42" s="141">
        <v>3423</v>
      </c>
      <c r="S42" s="141" t="s">
        <v>156</v>
      </c>
      <c r="U42" s="141" t="str">
        <f t="shared" ref="U42:U73" si="10">LEFT(R42,2)</f>
        <v>34</v>
      </c>
      <c r="V42" s="141" t="str">
        <f t="shared" ref="V42:V73" si="11">LEFT(R42,3)</f>
        <v>342</v>
      </c>
      <c r="X42" t="s">
        <v>2135</v>
      </c>
      <c r="Y42" t="s">
        <v>2134</v>
      </c>
    </row>
    <row r="43" spans="1:25">
      <c r="A43" s="145" t="str">
        <f>IF(C43="","",VLOOKUP('Opći dio'!$C$3,'Opći dio'!$L$6:$U$136,10,FALSE))</f>
        <v/>
      </c>
      <c r="B43" s="145" t="str">
        <f>IF(C43="","",VLOOKUP('Opći dio'!$C$3,'Opći dio'!$L$6:$U$136,9,FALSE))</f>
        <v/>
      </c>
      <c r="C43" s="151"/>
      <c r="D43" s="146" t="str">
        <f t="shared" si="3"/>
        <v/>
      </c>
      <c r="E43" s="151"/>
      <c r="F43" s="146" t="str">
        <f t="shared" si="4"/>
        <v/>
      </c>
      <c r="G43" s="186"/>
      <c r="H43" s="146" t="str">
        <f t="shared" si="5"/>
        <v/>
      </c>
      <c r="I43" s="185"/>
      <c r="J43" s="185"/>
      <c r="K43" s="185"/>
      <c r="M43" s="141" t="str">
        <f t="shared" si="6"/>
        <v/>
      </c>
      <c r="N43" s="141" t="str">
        <f t="shared" si="7"/>
        <v/>
      </c>
      <c r="R43" s="141">
        <v>3427</v>
      </c>
      <c r="S43" s="141" t="s">
        <v>195</v>
      </c>
      <c r="U43" s="141" t="str">
        <f t="shared" si="10"/>
        <v>34</v>
      </c>
      <c r="V43" s="141" t="str">
        <f t="shared" si="11"/>
        <v>342</v>
      </c>
      <c r="X43" t="s">
        <v>55</v>
      </c>
      <c r="Y43" t="s">
        <v>56</v>
      </c>
    </row>
    <row r="44" spans="1:25">
      <c r="A44" s="145" t="str">
        <f>IF(C44="","",VLOOKUP('Opći dio'!$C$3,'Opći dio'!$L$6:$U$136,10,FALSE))</f>
        <v/>
      </c>
      <c r="B44" s="145" t="str">
        <f>IF(C44="","",VLOOKUP('Opći dio'!$C$3,'Opći dio'!$L$6:$U$136,9,FALSE))</f>
        <v/>
      </c>
      <c r="C44" s="151"/>
      <c r="D44" s="146" t="str">
        <f t="shared" si="3"/>
        <v/>
      </c>
      <c r="E44" s="151"/>
      <c r="F44" s="146" t="str">
        <f t="shared" si="4"/>
        <v/>
      </c>
      <c r="G44" s="186"/>
      <c r="H44" s="146" t="str">
        <f t="shared" si="5"/>
        <v/>
      </c>
      <c r="I44" s="185"/>
      <c r="J44" s="185"/>
      <c r="K44" s="185"/>
      <c r="M44" s="141" t="str">
        <f t="shared" si="6"/>
        <v/>
      </c>
      <c r="N44" s="141" t="str">
        <f t="shared" si="7"/>
        <v/>
      </c>
      <c r="R44" s="141">
        <v>3431</v>
      </c>
      <c r="S44" s="141" t="s">
        <v>89</v>
      </c>
      <c r="U44" s="141" t="str">
        <f t="shared" si="10"/>
        <v>34</v>
      </c>
      <c r="V44" s="141" t="str">
        <f t="shared" si="11"/>
        <v>343</v>
      </c>
      <c r="X44" t="s">
        <v>65</v>
      </c>
      <c r="Y44" t="s">
        <v>66</v>
      </c>
    </row>
    <row r="45" spans="1:25">
      <c r="A45" s="145" t="str">
        <f>IF(C45="","",VLOOKUP('Opći dio'!$C$3,'Opći dio'!$L$6:$U$136,10,FALSE))</f>
        <v/>
      </c>
      <c r="B45" s="145" t="str">
        <f>IF(C45="","",VLOOKUP('Opći dio'!$C$3,'Opći dio'!$L$6:$U$136,9,FALSE))</f>
        <v/>
      </c>
      <c r="C45" s="151"/>
      <c r="D45" s="146" t="str">
        <f t="shared" si="3"/>
        <v/>
      </c>
      <c r="E45" s="151"/>
      <c r="F45" s="146" t="str">
        <f t="shared" si="4"/>
        <v/>
      </c>
      <c r="G45" s="186"/>
      <c r="H45" s="146" t="str">
        <f t="shared" si="5"/>
        <v/>
      </c>
      <c r="I45" s="185"/>
      <c r="J45" s="185"/>
      <c r="K45" s="185"/>
      <c r="M45" s="141" t="str">
        <f t="shared" si="6"/>
        <v/>
      </c>
      <c r="N45" s="141" t="str">
        <f t="shared" si="7"/>
        <v/>
      </c>
      <c r="R45" s="141">
        <v>3432</v>
      </c>
      <c r="S45" s="141" t="s">
        <v>105</v>
      </c>
      <c r="U45" s="141" t="str">
        <f t="shared" si="10"/>
        <v>34</v>
      </c>
      <c r="V45" s="141" t="str">
        <f t="shared" si="11"/>
        <v>343</v>
      </c>
      <c r="X45" t="s">
        <v>68</v>
      </c>
      <c r="Y45" t="s">
        <v>69</v>
      </c>
    </row>
    <row r="46" spans="1:25">
      <c r="A46" s="145" t="str">
        <f>IF(C46="","",VLOOKUP('Opći dio'!$C$3,'Opći dio'!$L$6:$U$136,10,FALSE))</f>
        <v/>
      </c>
      <c r="B46" s="145" t="str">
        <f>IF(C46="","",VLOOKUP('Opći dio'!$C$3,'Opći dio'!$L$6:$U$136,9,FALSE))</f>
        <v/>
      </c>
      <c r="C46" s="151"/>
      <c r="D46" s="146" t="str">
        <f t="shared" si="3"/>
        <v/>
      </c>
      <c r="E46" s="151"/>
      <c r="F46" s="146" t="str">
        <f t="shared" si="4"/>
        <v/>
      </c>
      <c r="G46" s="186"/>
      <c r="H46" s="146" t="str">
        <f t="shared" si="5"/>
        <v/>
      </c>
      <c r="I46" s="185"/>
      <c r="J46" s="185"/>
      <c r="K46" s="185"/>
      <c r="M46" s="141" t="str">
        <f t="shared" si="6"/>
        <v/>
      </c>
      <c r="N46" s="141" t="str">
        <f t="shared" si="7"/>
        <v/>
      </c>
      <c r="R46" s="141">
        <v>3433</v>
      </c>
      <c r="S46" s="141" t="s">
        <v>143</v>
      </c>
      <c r="U46" s="141" t="str">
        <f t="shared" si="10"/>
        <v>34</v>
      </c>
      <c r="V46" s="141" t="str">
        <f t="shared" si="11"/>
        <v>343</v>
      </c>
      <c r="X46" t="s">
        <v>70</v>
      </c>
      <c r="Y46" t="s">
        <v>71</v>
      </c>
    </row>
    <row r="47" spans="1:25">
      <c r="A47" s="145" t="str">
        <f>IF(C47="","",VLOOKUP('Opći dio'!$C$3,'Opći dio'!$L$6:$U$136,10,FALSE))</f>
        <v/>
      </c>
      <c r="B47" s="145" t="str">
        <f>IF(C47="","",VLOOKUP('Opći dio'!$C$3,'Opći dio'!$L$6:$U$136,9,FALSE))</f>
        <v/>
      </c>
      <c r="C47" s="151"/>
      <c r="D47" s="146" t="str">
        <f t="shared" si="3"/>
        <v/>
      </c>
      <c r="E47" s="151"/>
      <c r="F47" s="146" t="str">
        <f t="shared" si="4"/>
        <v/>
      </c>
      <c r="G47" s="186"/>
      <c r="H47" s="146" t="str">
        <f t="shared" si="5"/>
        <v/>
      </c>
      <c r="I47" s="185"/>
      <c r="J47" s="185"/>
      <c r="K47" s="185"/>
      <c r="M47" s="141" t="str">
        <f t="shared" si="6"/>
        <v/>
      </c>
      <c r="N47" s="141" t="str">
        <f t="shared" si="7"/>
        <v/>
      </c>
      <c r="R47" s="141">
        <v>3434</v>
      </c>
      <c r="S47" s="141" t="s">
        <v>74</v>
      </c>
      <c r="U47" s="141" t="str">
        <f t="shared" si="10"/>
        <v>34</v>
      </c>
      <c r="V47" s="141" t="str">
        <f t="shared" si="11"/>
        <v>343</v>
      </c>
      <c r="X47" t="s">
        <v>803</v>
      </c>
      <c r="Y47" t="s">
        <v>804</v>
      </c>
    </row>
    <row r="48" spans="1:25">
      <c r="A48" s="145" t="str">
        <f>IF(C48="","",VLOOKUP('Opći dio'!$C$3,'Opći dio'!$L$6:$U$136,10,FALSE))</f>
        <v/>
      </c>
      <c r="B48" s="145" t="str">
        <f>IF(C48="","",VLOOKUP('Opći dio'!$C$3,'Opći dio'!$L$6:$U$136,9,FALSE))</f>
        <v/>
      </c>
      <c r="C48" s="151"/>
      <c r="D48" s="146" t="str">
        <f t="shared" si="3"/>
        <v/>
      </c>
      <c r="E48" s="151"/>
      <c r="F48" s="146" t="str">
        <f t="shared" si="4"/>
        <v/>
      </c>
      <c r="G48" s="186"/>
      <c r="H48" s="146" t="str">
        <f t="shared" si="5"/>
        <v/>
      </c>
      <c r="I48" s="185"/>
      <c r="J48" s="185"/>
      <c r="K48" s="185"/>
      <c r="M48" s="141" t="str">
        <f t="shared" si="6"/>
        <v/>
      </c>
      <c r="N48" s="141" t="str">
        <f t="shared" si="7"/>
        <v/>
      </c>
      <c r="R48" s="141">
        <v>3511</v>
      </c>
      <c r="S48" s="141" t="s">
        <v>186</v>
      </c>
      <c r="U48" s="141" t="str">
        <f t="shared" si="10"/>
        <v>35</v>
      </c>
      <c r="V48" s="141" t="str">
        <f t="shared" si="11"/>
        <v>351</v>
      </c>
      <c r="X48" t="s">
        <v>75</v>
      </c>
      <c r="Y48" t="s">
        <v>76</v>
      </c>
    </row>
    <row r="49" spans="1:25">
      <c r="A49" s="145" t="str">
        <f>IF(C49="","",VLOOKUP('Opći dio'!$C$3,'Opći dio'!$L$6:$U$136,10,FALSE))</f>
        <v/>
      </c>
      <c r="B49" s="145" t="str">
        <f>IF(C49="","",VLOOKUP('Opći dio'!$C$3,'Opći dio'!$L$6:$U$136,9,FALSE))</f>
        <v/>
      </c>
      <c r="C49" s="151"/>
      <c r="D49" s="146" t="str">
        <f t="shared" si="3"/>
        <v/>
      </c>
      <c r="E49" s="151"/>
      <c r="F49" s="146" t="str">
        <f t="shared" si="4"/>
        <v/>
      </c>
      <c r="G49" s="186"/>
      <c r="H49" s="146" t="str">
        <f t="shared" si="5"/>
        <v/>
      </c>
      <c r="I49" s="185"/>
      <c r="J49" s="185"/>
      <c r="K49" s="185"/>
      <c r="M49" s="141" t="str">
        <f t="shared" si="6"/>
        <v/>
      </c>
      <c r="N49" s="141" t="str">
        <f t="shared" si="7"/>
        <v/>
      </c>
      <c r="R49" s="141">
        <v>3512</v>
      </c>
      <c r="S49" s="141" t="s">
        <v>188</v>
      </c>
      <c r="U49" s="141" t="str">
        <f t="shared" si="10"/>
        <v>35</v>
      </c>
      <c r="V49" s="141" t="str">
        <f t="shared" si="11"/>
        <v>351</v>
      </c>
      <c r="X49" t="s">
        <v>77</v>
      </c>
      <c r="Y49" t="s">
        <v>78</v>
      </c>
    </row>
    <row r="50" spans="1:25">
      <c r="A50" s="145" t="str">
        <f>IF(C50="","",VLOOKUP('Opći dio'!$C$3,'Opći dio'!$L$6:$U$136,10,FALSE))</f>
        <v/>
      </c>
      <c r="B50" s="145" t="str">
        <f>IF(C50="","",VLOOKUP('Opći dio'!$C$3,'Opći dio'!$L$6:$U$136,9,FALSE))</f>
        <v/>
      </c>
      <c r="C50" s="151"/>
      <c r="D50" s="146" t="str">
        <f t="shared" si="3"/>
        <v/>
      </c>
      <c r="E50" s="151"/>
      <c r="F50" s="146" t="str">
        <f t="shared" si="4"/>
        <v/>
      </c>
      <c r="G50" s="186"/>
      <c r="H50" s="146" t="str">
        <f t="shared" si="5"/>
        <v/>
      </c>
      <c r="I50" s="185"/>
      <c r="J50" s="185"/>
      <c r="K50" s="185"/>
      <c r="M50" s="141" t="str">
        <f t="shared" si="6"/>
        <v/>
      </c>
      <c r="N50" s="141" t="str">
        <f t="shared" si="7"/>
        <v/>
      </c>
      <c r="R50" s="141">
        <v>3522</v>
      </c>
      <c r="S50" s="141" t="s">
        <v>265</v>
      </c>
      <c r="U50" s="141" t="str">
        <f t="shared" si="10"/>
        <v>35</v>
      </c>
      <c r="V50" s="141" t="str">
        <f t="shared" si="11"/>
        <v>352</v>
      </c>
      <c r="X50" t="s">
        <v>79</v>
      </c>
      <c r="Y50" t="s">
        <v>80</v>
      </c>
    </row>
    <row r="51" spans="1:25">
      <c r="A51" s="145" t="str">
        <f>IF(C51="","",VLOOKUP('Opći dio'!$C$3,'Opći dio'!$L$6:$U$136,10,FALSE))</f>
        <v/>
      </c>
      <c r="B51" s="145" t="str">
        <f>IF(C51="","",VLOOKUP('Opći dio'!$C$3,'Opći dio'!$L$6:$U$136,9,FALSE))</f>
        <v/>
      </c>
      <c r="C51" s="151"/>
      <c r="D51" s="146" t="str">
        <f t="shared" si="3"/>
        <v/>
      </c>
      <c r="E51" s="151"/>
      <c r="F51" s="146" t="str">
        <f t="shared" si="4"/>
        <v/>
      </c>
      <c r="G51" s="186"/>
      <c r="H51" s="146" t="str">
        <f t="shared" si="5"/>
        <v/>
      </c>
      <c r="I51" s="185"/>
      <c r="J51" s="185"/>
      <c r="K51" s="185"/>
      <c r="M51" s="141" t="str">
        <f t="shared" si="6"/>
        <v/>
      </c>
      <c r="N51" s="141" t="str">
        <f t="shared" si="7"/>
        <v/>
      </c>
      <c r="R51" s="141">
        <v>3531</v>
      </c>
      <c r="S51" s="141" t="s">
        <v>140</v>
      </c>
      <c r="U51" s="141" t="str">
        <f t="shared" si="10"/>
        <v>35</v>
      </c>
      <c r="V51" s="141" t="str">
        <f t="shared" si="11"/>
        <v>353</v>
      </c>
      <c r="X51" t="s">
        <v>82</v>
      </c>
      <c r="Y51" t="s">
        <v>83</v>
      </c>
    </row>
    <row r="52" spans="1:25">
      <c r="A52" s="145" t="str">
        <f>IF(C52="","",VLOOKUP('Opći dio'!$C$3,'Opći dio'!$L$6:$U$136,10,FALSE))</f>
        <v/>
      </c>
      <c r="B52" s="145" t="str">
        <f>IF(C52="","",VLOOKUP('Opći dio'!$C$3,'Opći dio'!$L$6:$U$136,9,FALSE))</f>
        <v/>
      </c>
      <c r="C52" s="151"/>
      <c r="D52" s="146" t="str">
        <f t="shared" si="3"/>
        <v/>
      </c>
      <c r="E52" s="151"/>
      <c r="F52" s="146" t="str">
        <f t="shared" si="4"/>
        <v/>
      </c>
      <c r="G52" s="186"/>
      <c r="H52" s="146" t="str">
        <f t="shared" si="5"/>
        <v/>
      </c>
      <c r="I52" s="185"/>
      <c r="J52" s="185"/>
      <c r="K52" s="185"/>
      <c r="M52" s="141" t="str">
        <f t="shared" si="6"/>
        <v/>
      </c>
      <c r="N52" s="141" t="str">
        <f t="shared" si="7"/>
        <v/>
      </c>
      <c r="R52" s="141">
        <v>3611</v>
      </c>
      <c r="S52" s="141" t="s">
        <v>94</v>
      </c>
      <c r="U52" s="141" t="str">
        <f t="shared" si="10"/>
        <v>36</v>
      </c>
      <c r="V52" s="141" t="str">
        <f t="shared" si="11"/>
        <v>361</v>
      </c>
      <c r="X52" t="s">
        <v>807</v>
      </c>
      <c r="Y52" t="s">
        <v>808</v>
      </c>
    </row>
    <row r="53" spans="1:25">
      <c r="A53" s="145" t="str">
        <f>IF(C53="","",VLOOKUP('Opći dio'!$C$3,'Opći dio'!$L$6:$U$136,10,FALSE))</f>
        <v/>
      </c>
      <c r="B53" s="145" t="str">
        <f>IF(C53="","",VLOOKUP('Opći dio'!$C$3,'Opći dio'!$L$6:$U$136,9,FALSE))</f>
        <v/>
      </c>
      <c r="C53" s="151"/>
      <c r="D53" s="146" t="str">
        <f t="shared" si="3"/>
        <v/>
      </c>
      <c r="E53" s="151"/>
      <c r="F53" s="146" t="str">
        <f t="shared" si="4"/>
        <v/>
      </c>
      <c r="G53" s="186"/>
      <c r="H53" s="146" t="str">
        <f t="shared" si="5"/>
        <v/>
      </c>
      <c r="I53" s="185"/>
      <c r="J53" s="185"/>
      <c r="K53" s="185"/>
      <c r="M53" s="141" t="str">
        <f t="shared" si="6"/>
        <v/>
      </c>
      <c r="N53" s="141" t="str">
        <f t="shared" si="7"/>
        <v/>
      </c>
      <c r="R53" s="141">
        <v>3621</v>
      </c>
      <c r="S53" s="141" t="s">
        <v>144</v>
      </c>
      <c r="U53" s="141" t="str">
        <f t="shared" si="10"/>
        <v>36</v>
      </c>
      <c r="V53" s="141" t="str">
        <f t="shared" si="11"/>
        <v>362</v>
      </c>
      <c r="X53" t="s">
        <v>1197</v>
      </c>
      <c r="Y53" t="s">
        <v>1198</v>
      </c>
    </row>
    <row r="54" spans="1:25">
      <c r="A54" s="145" t="str">
        <f>IF(C54="","",VLOOKUP('Opći dio'!$C$3,'Opći dio'!$L$6:$U$136,10,FALSE))</f>
        <v/>
      </c>
      <c r="B54" s="145" t="str">
        <f>IF(C54="","",VLOOKUP('Opći dio'!$C$3,'Opći dio'!$L$6:$U$136,9,FALSE))</f>
        <v/>
      </c>
      <c r="C54" s="151"/>
      <c r="D54" s="146" t="str">
        <f t="shared" si="3"/>
        <v/>
      </c>
      <c r="E54" s="151"/>
      <c r="F54" s="146" t="str">
        <f t="shared" si="4"/>
        <v/>
      </c>
      <c r="G54" s="186"/>
      <c r="H54" s="146" t="str">
        <f t="shared" si="5"/>
        <v/>
      </c>
      <c r="I54" s="185"/>
      <c r="J54" s="185"/>
      <c r="K54" s="185"/>
      <c r="M54" s="141" t="str">
        <f t="shared" si="6"/>
        <v/>
      </c>
      <c r="N54" s="141" t="str">
        <f t="shared" si="7"/>
        <v/>
      </c>
      <c r="R54" s="141">
        <v>3631</v>
      </c>
      <c r="S54" s="141" t="s">
        <v>185</v>
      </c>
      <c r="U54" s="141" t="str">
        <f t="shared" si="10"/>
        <v>36</v>
      </c>
      <c r="V54" s="141" t="str">
        <f t="shared" si="11"/>
        <v>363</v>
      </c>
      <c r="X54" t="s">
        <v>809</v>
      </c>
      <c r="Y54" t="s">
        <v>810</v>
      </c>
    </row>
    <row r="55" spans="1:25">
      <c r="A55" s="145" t="str">
        <f>IF(C55="","",VLOOKUP('Opći dio'!$C$3,'Opći dio'!$L$6:$U$136,10,FALSE))</f>
        <v/>
      </c>
      <c r="B55" s="145" t="str">
        <f>IF(C55="","",VLOOKUP('Opći dio'!$C$3,'Opći dio'!$L$6:$U$136,9,FALSE))</f>
        <v/>
      </c>
      <c r="C55" s="151"/>
      <c r="D55" s="146" t="str">
        <f t="shared" si="3"/>
        <v/>
      </c>
      <c r="E55" s="151"/>
      <c r="F55" s="146" t="str">
        <f t="shared" si="4"/>
        <v/>
      </c>
      <c r="G55" s="186"/>
      <c r="H55" s="146" t="str">
        <f t="shared" si="5"/>
        <v/>
      </c>
      <c r="I55" s="185"/>
      <c r="J55" s="185"/>
      <c r="K55" s="185"/>
      <c r="M55" s="141" t="str">
        <f t="shared" si="6"/>
        <v/>
      </c>
      <c r="N55" s="141" t="str">
        <f t="shared" si="7"/>
        <v/>
      </c>
      <c r="R55" s="141">
        <v>3632</v>
      </c>
      <c r="S55" s="141" t="s">
        <v>266</v>
      </c>
      <c r="U55" s="141" t="str">
        <f t="shared" si="10"/>
        <v>36</v>
      </c>
      <c r="V55" s="141" t="str">
        <f t="shared" si="11"/>
        <v>363</v>
      </c>
      <c r="X55" t="s">
        <v>801</v>
      </c>
      <c r="Y55" t="s">
        <v>802</v>
      </c>
    </row>
    <row r="56" spans="1:25">
      <c r="A56" s="145" t="str">
        <f>IF(C56="","",VLOOKUP('Opći dio'!$C$3,'Opći dio'!$L$6:$U$136,10,FALSE))</f>
        <v/>
      </c>
      <c r="B56" s="145" t="str">
        <f>IF(C56="","",VLOOKUP('Opći dio'!$C$3,'Opći dio'!$L$6:$U$136,9,FALSE))</f>
        <v/>
      </c>
      <c r="C56" s="151"/>
      <c r="D56" s="146" t="str">
        <f t="shared" si="3"/>
        <v/>
      </c>
      <c r="E56" s="151"/>
      <c r="F56" s="146" t="str">
        <f t="shared" si="4"/>
        <v/>
      </c>
      <c r="G56" s="186"/>
      <c r="H56" s="146" t="str">
        <f t="shared" si="5"/>
        <v/>
      </c>
      <c r="I56" s="185"/>
      <c r="J56" s="185"/>
      <c r="K56" s="185"/>
      <c r="M56" s="141" t="str">
        <f t="shared" si="6"/>
        <v/>
      </c>
      <c r="N56" s="141" t="str">
        <f t="shared" si="7"/>
        <v/>
      </c>
      <c r="R56" s="141">
        <v>3661</v>
      </c>
      <c r="S56" s="141" t="s">
        <v>106</v>
      </c>
      <c r="U56" s="141" t="str">
        <f t="shared" si="10"/>
        <v>36</v>
      </c>
      <c r="V56" s="141" t="str">
        <f t="shared" si="11"/>
        <v>366</v>
      </c>
      <c r="X56" t="s">
        <v>2070</v>
      </c>
      <c r="Y56" t="s">
        <v>2071</v>
      </c>
    </row>
    <row r="57" spans="1:25">
      <c r="A57" s="145" t="str">
        <f>IF(C57="","",VLOOKUP('Opći dio'!$C$3,'Opći dio'!$L$6:$U$136,10,FALSE))</f>
        <v/>
      </c>
      <c r="B57" s="145" t="str">
        <f>IF(C57="","",VLOOKUP('Opći dio'!$C$3,'Opći dio'!$L$6:$U$136,9,FALSE))</f>
        <v/>
      </c>
      <c r="C57" s="151"/>
      <c r="D57" s="146" t="str">
        <f t="shared" si="3"/>
        <v/>
      </c>
      <c r="E57" s="151"/>
      <c r="F57" s="146" t="str">
        <f t="shared" si="4"/>
        <v/>
      </c>
      <c r="G57" s="186"/>
      <c r="H57" s="146" t="str">
        <f t="shared" si="5"/>
        <v/>
      </c>
      <c r="I57" s="185"/>
      <c r="J57" s="185"/>
      <c r="K57" s="185"/>
      <c r="M57" s="141" t="str">
        <f t="shared" si="6"/>
        <v/>
      </c>
      <c r="N57" s="141" t="str">
        <f t="shared" si="7"/>
        <v/>
      </c>
      <c r="R57" s="141">
        <v>3662</v>
      </c>
      <c r="S57" s="141" t="s">
        <v>189</v>
      </c>
      <c r="U57" s="141" t="str">
        <f t="shared" si="10"/>
        <v>36</v>
      </c>
      <c r="V57" s="141" t="str">
        <f t="shared" si="11"/>
        <v>366</v>
      </c>
      <c r="X57" t="s">
        <v>149</v>
      </c>
      <c r="Y57" t="s">
        <v>150</v>
      </c>
    </row>
    <row r="58" spans="1:25">
      <c r="A58" s="145" t="str">
        <f>IF(C58="","",VLOOKUP('Opći dio'!$C$3,'Opći dio'!$L$6:$U$136,10,FALSE))</f>
        <v/>
      </c>
      <c r="B58" s="145" t="str">
        <f>IF(C58="","",VLOOKUP('Opći dio'!$C$3,'Opći dio'!$L$6:$U$136,9,FALSE))</f>
        <v/>
      </c>
      <c r="C58" s="151"/>
      <c r="D58" s="146" t="str">
        <f t="shared" si="3"/>
        <v/>
      </c>
      <c r="E58" s="151"/>
      <c r="F58" s="146" t="str">
        <f t="shared" si="4"/>
        <v/>
      </c>
      <c r="G58" s="186"/>
      <c r="H58" s="146" t="str">
        <f t="shared" si="5"/>
        <v/>
      </c>
      <c r="I58" s="185"/>
      <c r="J58" s="185"/>
      <c r="K58" s="185"/>
      <c r="M58" s="141" t="str">
        <f t="shared" si="6"/>
        <v/>
      </c>
      <c r="N58" s="141" t="str">
        <f t="shared" si="7"/>
        <v/>
      </c>
      <c r="R58" s="141">
        <v>3681</v>
      </c>
      <c r="S58" s="141" t="s">
        <v>29</v>
      </c>
      <c r="U58" s="141" t="str">
        <f t="shared" si="10"/>
        <v>36</v>
      </c>
      <c r="V58" s="141" t="str">
        <f t="shared" si="11"/>
        <v>368</v>
      </c>
      <c r="X58" t="s">
        <v>152</v>
      </c>
      <c r="Y58" t="s">
        <v>1570</v>
      </c>
    </row>
    <row r="59" spans="1:25">
      <c r="A59" s="145" t="str">
        <f>IF(C59="","",VLOOKUP('Opći dio'!$C$3,'Opći dio'!$L$6:$U$136,10,FALSE))</f>
        <v/>
      </c>
      <c r="B59" s="145" t="str">
        <f>IF(C59="","",VLOOKUP('Opći dio'!$C$3,'Opći dio'!$L$6:$U$136,9,FALSE))</f>
        <v/>
      </c>
      <c r="C59" s="151"/>
      <c r="D59" s="146" t="str">
        <f t="shared" si="3"/>
        <v/>
      </c>
      <c r="E59" s="151"/>
      <c r="F59" s="146" t="str">
        <f t="shared" si="4"/>
        <v/>
      </c>
      <c r="G59" s="186"/>
      <c r="H59" s="146" t="str">
        <f t="shared" si="5"/>
        <v/>
      </c>
      <c r="I59" s="185"/>
      <c r="J59" s="185"/>
      <c r="K59" s="185"/>
      <c r="M59" s="141" t="str">
        <f t="shared" si="6"/>
        <v/>
      </c>
      <c r="N59" s="141" t="str">
        <f t="shared" si="7"/>
        <v/>
      </c>
      <c r="R59" s="141">
        <v>3682</v>
      </c>
      <c r="S59" s="141" t="s">
        <v>30</v>
      </c>
      <c r="U59" s="141" t="str">
        <f t="shared" si="10"/>
        <v>36</v>
      </c>
      <c r="V59" s="141" t="str">
        <f t="shared" si="11"/>
        <v>368</v>
      </c>
      <c r="X59" t="s">
        <v>181</v>
      </c>
      <c r="Y59" t="s">
        <v>1571</v>
      </c>
    </row>
    <row r="60" spans="1:25">
      <c r="A60" s="145" t="str">
        <f>IF(C60="","",VLOOKUP('Opći dio'!$C$3,'Opći dio'!$L$6:$U$136,10,FALSE))</f>
        <v/>
      </c>
      <c r="B60" s="145" t="str">
        <f>IF(C60="","",VLOOKUP('Opći dio'!$C$3,'Opći dio'!$L$6:$U$136,9,FALSE))</f>
        <v/>
      </c>
      <c r="C60" s="151"/>
      <c r="D60" s="146" t="str">
        <f t="shared" si="3"/>
        <v/>
      </c>
      <c r="E60" s="151"/>
      <c r="F60" s="146" t="str">
        <f t="shared" si="4"/>
        <v/>
      </c>
      <c r="G60" s="186"/>
      <c r="H60" s="146" t="str">
        <f t="shared" si="5"/>
        <v/>
      </c>
      <c r="I60" s="185"/>
      <c r="J60" s="185"/>
      <c r="K60" s="185"/>
      <c r="M60" s="141" t="str">
        <f t="shared" si="6"/>
        <v/>
      </c>
      <c r="N60" s="141" t="str">
        <f t="shared" si="7"/>
        <v/>
      </c>
      <c r="R60" s="141">
        <v>3691</v>
      </c>
      <c r="S60" s="141" t="s">
        <v>111</v>
      </c>
      <c r="U60" s="141" t="str">
        <f t="shared" si="10"/>
        <v>36</v>
      </c>
      <c r="V60" s="141" t="str">
        <f t="shared" si="11"/>
        <v>369</v>
      </c>
      <c r="X60" t="s">
        <v>184</v>
      </c>
      <c r="Y60" t="s">
        <v>1572</v>
      </c>
    </row>
    <row r="61" spans="1:25">
      <c r="A61" s="145" t="str">
        <f>IF(C61="","",VLOOKUP('Opći dio'!$C$3,'Opći dio'!$L$6:$U$136,10,FALSE))</f>
        <v/>
      </c>
      <c r="B61" s="145" t="str">
        <f>IF(C61="","",VLOOKUP('Opći dio'!$C$3,'Opći dio'!$L$6:$U$136,9,FALSE))</f>
        <v/>
      </c>
      <c r="C61" s="151"/>
      <c r="D61" s="146" t="str">
        <f t="shared" si="3"/>
        <v/>
      </c>
      <c r="E61" s="151"/>
      <c r="F61" s="146" t="str">
        <f t="shared" si="4"/>
        <v/>
      </c>
      <c r="G61" s="186"/>
      <c r="H61" s="146" t="str">
        <f t="shared" si="5"/>
        <v/>
      </c>
      <c r="I61" s="185"/>
      <c r="J61" s="185"/>
      <c r="K61" s="185"/>
      <c r="M61" s="141" t="str">
        <f t="shared" si="6"/>
        <v/>
      </c>
      <c r="N61" s="141" t="str">
        <f t="shared" si="7"/>
        <v/>
      </c>
      <c r="R61" s="141">
        <v>3692</v>
      </c>
      <c r="S61" s="141" t="s">
        <v>183</v>
      </c>
      <c r="U61" s="141" t="str">
        <f t="shared" si="10"/>
        <v>36</v>
      </c>
      <c r="V61" s="141" t="str">
        <f t="shared" si="11"/>
        <v>369</v>
      </c>
      <c r="X61" t="s">
        <v>187</v>
      </c>
      <c r="Y61" t="s">
        <v>1573</v>
      </c>
    </row>
    <row r="62" spans="1:25">
      <c r="A62" s="145" t="str">
        <f>IF(C62="","",VLOOKUP('Opći dio'!$C$3,'Opći dio'!$L$6:$U$136,10,FALSE))</f>
        <v/>
      </c>
      <c r="B62" s="145" t="str">
        <f>IF(C62="","",VLOOKUP('Opći dio'!$C$3,'Opći dio'!$L$6:$U$136,9,FALSE))</f>
        <v/>
      </c>
      <c r="C62" s="151"/>
      <c r="D62" s="146" t="str">
        <f t="shared" si="3"/>
        <v/>
      </c>
      <c r="E62" s="151"/>
      <c r="F62" s="146" t="str">
        <f t="shared" si="4"/>
        <v/>
      </c>
      <c r="G62" s="186"/>
      <c r="H62" s="146" t="str">
        <f t="shared" si="5"/>
        <v/>
      </c>
      <c r="I62" s="185"/>
      <c r="J62" s="185"/>
      <c r="K62" s="185"/>
      <c r="M62" s="141" t="str">
        <f t="shared" si="6"/>
        <v/>
      </c>
      <c r="N62" s="141" t="str">
        <f t="shared" si="7"/>
        <v/>
      </c>
      <c r="R62" s="141">
        <v>3693</v>
      </c>
      <c r="S62" s="141" t="s">
        <v>111</v>
      </c>
      <c r="U62" s="141" t="str">
        <f t="shared" si="10"/>
        <v>36</v>
      </c>
      <c r="V62" s="141" t="str">
        <f t="shared" si="11"/>
        <v>369</v>
      </c>
      <c r="X62" t="s">
        <v>191</v>
      </c>
      <c r="Y62" t="s">
        <v>1574</v>
      </c>
    </row>
    <row r="63" spans="1:25">
      <c r="A63" s="145" t="str">
        <f>IF(C63="","",VLOOKUP('Opći dio'!$C$3,'Opći dio'!$L$6:$U$136,10,FALSE))</f>
        <v/>
      </c>
      <c r="B63" s="145" t="str">
        <f>IF(C63="","",VLOOKUP('Opći dio'!$C$3,'Opći dio'!$L$6:$U$136,9,FALSE))</f>
        <v/>
      </c>
      <c r="C63" s="151"/>
      <c r="D63" s="146" t="str">
        <f t="shared" si="3"/>
        <v/>
      </c>
      <c r="E63" s="151"/>
      <c r="F63" s="146" t="str">
        <f t="shared" si="4"/>
        <v/>
      </c>
      <c r="G63" s="186"/>
      <c r="H63" s="146" t="str">
        <f t="shared" si="5"/>
        <v/>
      </c>
      <c r="I63" s="185"/>
      <c r="J63" s="185"/>
      <c r="K63" s="185"/>
      <c r="M63" s="141" t="str">
        <f t="shared" si="6"/>
        <v/>
      </c>
      <c r="N63" s="141" t="str">
        <f t="shared" si="7"/>
        <v/>
      </c>
      <c r="R63" s="141">
        <v>3694</v>
      </c>
      <c r="S63" s="141" t="s">
        <v>183</v>
      </c>
      <c r="U63" s="141" t="str">
        <f t="shared" si="10"/>
        <v>36</v>
      </c>
      <c r="V63" s="141" t="str">
        <f t="shared" si="11"/>
        <v>369</v>
      </c>
      <c r="X63" t="s">
        <v>192</v>
      </c>
      <c r="Y63" t="s">
        <v>1575</v>
      </c>
    </row>
    <row r="64" spans="1:25">
      <c r="A64" s="145" t="str">
        <f>IF(C64="","",VLOOKUP('Opći dio'!$C$3,'Opći dio'!$L$6:$U$136,10,FALSE))</f>
        <v/>
      </c>
      <c r="B64" s="145" t="str">
        <f>IF(C64="","",VLOOKUP('Opći dio'!$C$3,'Opći dio'!$L$6:$U$136,9,FALSE))</f>
        <v/>
      </c>
      <c r="C64" s="151"/>
      <c r="D64" s="146" t="str">
        <f t="shared" si="3"/>
        <v/>
      </c>
      <c r="E64" s="151"/>
      <c r="F64" s="146" t="str">
        <f t="shared" si="4"/>
        <v/>
      </c>
      <c r="G64" s="186"/>
      <c r="H64" s="146" t="str">
        <f t="shared" si="5"/>
        <v/>
      </c>
      <c r="I64" s="185"/>
      <c r="J64" s="185"/>
      <c r="K64" s="185"/>
      <c r="M64" s="141" t="str">
        <f t="shared" si="6"/>
        <v/>
      </c>
      <c r="N64" s="141" t="str">
        <f t="shared" si="7"/>
        <v/>
      </c>
      <c r="R64" s="141">
        <v>3711</v>
      </c>
      <c r="S64" s="141" t="s">
        <v>130</v>
      </c>
      <c r="U64" s="141" t="str">
        <f t="shared" si="10"/>
        <v>37</v>
      </c>
      <c r="V64" s="141" t="str">
        <f t="shared" si="11"/>
        <v>371</v>
      </c>
      <c r="X64" t="s">
        <v>194</v>
      </c>
      <c r="Y64" t="s">
        <v>1576</v>
      </c>
    </row>
    <row r="65" spans="1:25">
      <c r="A65" s="145" t="str">
        <f>IF(C65="","",VLOOKUP('Opći dio'!$C$3,'Opći dio'!$L$6:$U$136,10,FALSE))</f>
        <v/>
      </c>
      <c r="B65" s="145" t="str">
        <f>IF(C65="","",VLOOKUP('Opći dio'!$C$3,'Opći dio'!$L$6:$U$136,9,FALSE))</f>
        <v/>
      </c>
      <c r="C65" s="151"/>
      <c r="D65" s="146" t="str">
        <f t="shared" si="3"/>
        <v/>
      </c>
      <c r="E65" s="151"/>
      <c r="F65" s="146" t="str">
        <f t="shared" si="4"/>
        <v/>
      </c>
      <c r="G65" s="186"/>
      <c r="H65" s="146" t="str">
        <f t="shared" si="5"/>
        <v/>
      </c>
      <c r="I65" s="185"/>
      <c r="J65" s="185"/>
      <c r="K65" s="185"/>
      <c r="M65" s="141" t="str">
        <f t="shared" si="6"/>
        <v/>
      </c>
      <c r="N65" s="141" t="str">
        <f t="shared" si="7"/>
        <v/>
      </c>
      <c r="R65" s="141">
        <v>3712</v>
      </c>
      <c r="S65" s="141" t="s">
        <v>148</v>
      </c>
      <c r="U65" s="141" t="str">
        <f t="shared" si="10"/>
        <v>37</v>
      </c>
      <c r="V65" s="141" t="str">
        <f t="shared" si="11"/>
        <v>371</v>
      </c>
      <c r="X65" t="s">
        <v>200</v>
      </c>
      <c r="Y65" t="s">
        <v>1577</v>
      </c>
    </row>
    <row r="66" spans="1:25">
      <c r="A66" s="145" t="str">
        <f>IF(C66="","",VLOOKUP('Opći dio'!$C$3,'Opći dio'!$L$6:$U$136,10,FALSE))</f>
        <v/>
      </c>
      <c r="B66" s="145" t="str">
        <f>IF(C66="","",VLOOKUP('Opći dio'!$C$3,'Opći dio'!$L$6:$U$136,9,FALSE))</f>
        <v/>
      </c>
      <c r="C66" s="151"/>
      <c r="D66" s="146" t="str">
        <f t="shared" si="3"/>
        <v/>
      </c>
      <c r="E66" s="151"/>
      <c r="F66" s="146" t="str">
        <f t="shared" si="4"/>
        <v/>
      </c>
      <c r="G66" s="186"/>
      <c r="H66" s="146" t="str">
        <f t="shared" si="5"/>
        <v/>
      </c>
      <c r="I66" s="185"/>
      <c r="J66" s="185"/>
      <c r="K66" s="185"/>
      <c r="M66" s="141" t="str">
        <f t="shared" si="6"/>
        <v/>
      </c>
      <c r="N66" s="141" t="str">
        <f t="shared" si="7"/>
        <v/>
      </c>
      <c r="R66" s="141">
        <v>3713</v>
      </c>
      <c r="S66" s="141" t="s">
        <v>175</v>
      </c>
      <c r="U66" s="141" t="str">
        <f t="shared" si="10"/>
        <v>37</v>
      </c>
      <c r="V66" s="141" t="str">
        <f t="shared" si="11"/>
        <v>371</v>
      </c>
      <c r="X66" t="s">
        <v>201</v>
      </c>
      <c r="Y66" t="s">
        <v>1578</v>
      </c>
    </row>
    <row r="67" spans="1:25">
      <c r="A67" s="145" t="str">
        <f>IF(C67="","",VLOOKUP('Opći dio'!$C$3,'Opći dio'!$L$6:$U$136,10,FALSE))</f>
        <v/>
      </c>
      <c r="B67" s="145" t="str">
        <f>IF(C67="","",VLOOKUP('Opći dio'!$C$3,'Opći dio'!$L$6:$U$136,9,FALSE))</f>
        <v/>
      </c>
      <c r="C67" s="151"/>
      <c r="D67" s="146" t="str">
        <f t="shared" si="3"/>
        <v/>
      </c>
      <c r="E67" s="151"/>
      <c r="F67" s="146" t="str">
        <f t="shared" si="4"/>
        <v/>
      </c>
      <c r="G67" s="186"/>
      <c r="H67" s="146" t="str">
        <f t="shared" si="5"/>
        <v/>
      </c>
      <c r="I67" s="185"/>
      <c r="J67" s="185"/>
      <c r="K67" s="185"/>
      <c r="M67" s="141" t="str">
        <f t="shared" si="6"/>
        <v/>
      </c>
      <c r="N67" s="141" t="str">
        <f t="shared" si="7"/>
        <v/>
      </c>
      <c r="R67" s="141">
        <v>3714</v>
      </c>
      <c r="S67" s="141" t="s">
        <v>196</v>
      </c>
      <c r="U67" s="141" t="str">
        <f t="shared" si="10"/>
        <v>37</v>
      </c>
      <c r="V67" s="141" t="str">
        <f t="shared" si="11"/>
        <v>371</v>
      </c>
      <c r="X67" t="s">
        <v>799</v>
      </c>
      <c r="Y67" t="s">
        <v>800</v>
      </c>
    </row>
    <row r="68" spans="1:25">
      <c r="A68" s="145" t="str">
        <f>IF(C68="","",VLOOKUP('Opći dio'!$C$3,'Opći dio'!$L$6:$U$136,10,FALSE))</f>
        <v/>
      </c>
      <c r="B68" s="145" t="str">
        <f>IF(C68="","",VLOOKUP('Opći dio'!$C$3,'Opći dio'!$L$6:$U$136,9,FALSE))</f>
        <v/>
      </c>
      <c r="C68" s="151"/>
      <c r="D68" s="146" t="str">
        <f t="shared" ref="D68:D131" si="12">IFERROR(VLOOKUP(C68,$O$6:$P$23,2,FALSE),"")</f>
        <v/>
      </c>
      <c r="E68" s="151"/>
      <c r="F68" s="146" t="str">
        <f t="shared" ref="F68:F131" si="13">IFERROR(VLOOKUP(E68,$R$5:$T$129,2,FALSE),"")</f>
        <v/>
      </c>
      <c r="G68" s="186"/>
      <c r="H68" s="146" t="str">
        <f t="shared" ref="H68:H131" si="14">IFERROR(VLOOKUP(G68,$X$6:$Y$200,2,FALSE),"")</f>
        <v/>
      </c>
      <c r="I68" s="185"/>
      <c r="J68" s="185"/>
      <c r="K68" s="185"/>
      <c r="M68" s="141" t="str">
        <f t="shared" ref="M68:M131" si="15">LEFT(E68,3)</f>
        <v/>
      </c>
      <c r="N68" s="141" t="str">
        <f t="shared" ref="N68:N131" si="16">LEFT(E68,2)</f>
        <v/>
      </c>
      <c r="R68" s="141">
        <v>3715</v>
      </c>
      <c r="S68" s="141" t="s">
        <v>134</v>
      </c>
      <c r="U68" s="141" t="str">
        <f t="shared" si="10"/>
        <v>37</v>
      </c>
      <c r="V68" s="141" t="str">
        <f t="shared" si="11"/>
        <v>371</v>
      </c>
      <c r="X68" t="s">
        <v>2072</v>
      </c>
      <c r="Y68" t="s">
        <v>2073</v>
      </c>
    </row>
    <row r="69" spans="1:25">
      <c r="A69" s="145" t="str">
        <f>IF(C69="","",VLOOKUP('Opći dio'!$C$3,'Opći dio'!$L$6:$U$136,10,FALSE))</f>
        <v/>
      </c>
      <c r="B69" s="145" t="str">
        <f>IF(C69="","",VLOOKUP('Opći dio'!$C$3,'Opći dio'!$L$6:$U$136,9,FALSE))</f>
        <v/>
      </c>
      <c r="C69" s="151"/>
      <c r="D69" s="146" t="str">
        <f t="shared" si="12"/>
        <v/>
      </c>
      <c r="E69" s="151"/>
      <c r="F69" s="146" t="str">
        <f t="shared" si="13"/>
        <v/>
      </c>
      <c r="G69" s="186"/>
      <c r="H69" s="146" t="str">
        <f t="shared" si="14"/>
        <v/>
      </c>
      <c r="I69" s="185"/>
      <c r="J69" s="185"/>
      <c r="K69" s="185"/>
      <c r="M69" s="141" t="str">
        <f t="shared" si="15"/>
        <v/>
      </c>
      <c r="N69" s="141" t="str">
        <f t="shared" si="16"/>
        <v/>
      </c>
      <c r="R69" s="141">
        <v>3721</v>
      </c>
      <c r="S69" s="141" t="s">
        <v>72</v>
      </c>
      <c r="U69" s="141" t="str">
        <f t="shared" si="10"/>
        <v>37</v>
      </c>
      <c r="V69" s="141" t="str">
        <f t="shared" si="11"/>
        <v>372</v>
      </c>
      <c r="X69" t="s">
        <v>805</v>
      </c>
      <c r="Y69" t="s">
        <v>806</v>
      </c>
    </row>
    <row r="70" spans="1:25">
      <c r="A70" s="145" t="str">
        <f>IF(C70="","",VLOOKUP('Opći dio'!$C$3,'Opći dio'!$L$6:$U$136,10,FALSE))</f>
        <v/>
      </c>
      <c r="B70" s="145" t="str">
        <f>IF(C70="","",VLOOKUP('Opći dio'!$C$3,'Opći dio'!$L$6:$U$136,9,FALSE))</f>
        <v/>
      </c>
      <c r="C70" s="151"/>
      <c r="D70" s="146" t="str">
        <f t="shared" si="12"/>
        <v/>
      </c>
      <c r="E70" s="151"/>
      <c r="F70" s="146" t="str">
        <f t="shared" si="13"/>
        <v/>
      </c>
      <c r="G70" s="186"/>
      <c r="H70" s="146" t="str">
        <f t="shared" si="14"/>
        <v/>
      </c>
      <c r="I70" s="185"/>
      <c r="J70" s="185"/>
      <c r="K70" s="185"/>
      <c r="M70" s="141" t="str">
        <f t="shared" si="15"/>
        <v/>
      </c>
      <c r="N70" s="141" t="str">
        <f t="shared" si="16"/>
        <v/>
      </c>
      <c r="R70" s="141">
        <v>3722</v>
      </c>
      <c r="S70" s="141" t="s">
        <v>157</v>
      </c>
      <c r="U70" s="141" t="str">
        <f t="shared" si="10"/>
        <v>37</v>
      </c>
      <c r="V70" s="141" t="str">
        <f t="shared" si="11"/>
        <v>372</v>
      </c>
      <c r="X70" t="s">
        <v>816</v>
      </c>
      <c r="Y70" t="s">
        <v>817</v>
      </c>
    </row>
    <row r="71" spans="1:25">
      <c r="A71" s="145" t="str">
        <f>IF(C71="","",VLOOKUP('Opći dio'!$C$3,'Opći dio'!$L$6:$U$136,10,FALSE))</f>
        <v/>
      </c>
      <c r="B71" s="145" t="str">
        <f>IF(C71="","",VLOOKUP('Opći dio'!$C$3,'Opći dio'!$L$6:$U$136,9,FALSE))</f>
        <v/>
      </c>
      <c r="C71" s="151"/>
      <c r="D71" s="146" t="str">
        <f t="shared" si="12"/>
        <v/>
      </c>
      <c r="E71" s="151"/>
      <c r="F71" s="146" t="str">
        <f t="shared" si="13"/>
        <v/>
      </c>
      <c r="G71" s="186"/>
      <c r="H71" s="146" t="str">
        <f t="shared" si="14"/>
        <v/>
      </c>
      <c r="I71" s="185"/>
      <c r="J71" s="185"/>
      <c r="K71" s="185"/>
      <c r="M71" s="141" t="str">
        <f t="shared" si="15"/>
        <v/>
      </c>
      <c r="N71" s="141" t="str">
        <f t="shared" si="16"/>
        <v/>
      </c>
      <c r="R71" s="141">
        <v>3723</v>
      </c>
      <c r="S71" s="141" t="s">
        <v>112</v>
      </c>
      <c r="U71" s="141" t="str">
        <f t="shared" si="10"/>
        <v>37</v>
      </c>
      <c r="V71" s="141" t="str">
        <f t="shared" si="11"/>
        <v>372</v>
      </c>
      <c r="X71" t="s">
        <v>818</v>
      </c>
      <c r="Y71" t="s">
        <v>819</v>
      </c>
    </row>
    <row r="72" spans="1:25">
      <c r="A72" s="145" t="str">
        <f>IF(C72="","",VLOOKUP('Opći dio'!$C$3,'Opći dio'!$L$6:$U$136,10,FALSE))</f>
        <v/>
      </c>
      <c r="B72" s="145" t="str">
        <f>IF(C72="","",VLOOKUP('Opći dio'!$C$3,'Opći dio'!$L$6:$U$136,9,FALSE))</f>
        <v/>
      </c>
      <c r="C72" s="151"/>
      <c r="D72" s="146" t="str">
        <f t="shared" si="12"/>
        <v/>
      </c>
      <c r="E72" s="151"/>
      <c r="F72" s="146" t="str">
        <f t="shared" si="13"/>
        <v/>
      </c>
      <c r="G72" s="186"/>
      <c r="H72" s="146" t="str">
        <f t="shared" si="14"/>
        <v/>
      </c>
      <c r="I72" s="185"/>
      <c r="J72" s="185"/>
      <c r="K72" s="185"/>
      <c r="M72" s="141" t="str">
        <f t="shared" si="15"/>
        <v/>
      </c>
      <c r="N72" s="141" t="str">
        <f t="shared" si="16"/>
        <v/>
      </c>
      <c r="R72" s="141">
        <v>3811</v>
      </c>
      <c r="S72" s="141" t="s">
        <v>62</v>
      </c>
      <c r="U72" s="141" t="str">
        <f t="shared" si="10"/>
        <v>38</v>
      </c>
      <c r="V72" s="141" t="str">
        <f t="shared" si="11"/>
        <v>381</v>
      </c>
      <c r="X72" t="s">
        <v>1202</v>
      </c>
      <c r="Y72" t="s">
        <v>1203</v>
      </c>
    </row>
    <row r="73" spans="1:25">
      <c r="A73" s="145" t="str">
        <f>IF(C73="","",VLOOKUP('Opći dio'!$C$3,'Opći dio'!$L$6:$U$136,10,FALSE))</f>
        <v/>
      </c>
      <c r="B73" s="145" t="str">
        <f>IF(C73="","",VLOOKUP('Opći dio'!$C$3,'Opći dio'!$L$6:$U$136,9,FALSE))</f>
        <v/>
      </c>
      <c r="C73" s="151"/>
      <c r="D73" s="146" t="str">
        <f t="shared" si="12"/>
        <v/>
      </c>
      <c r="E73" s="151"/>
      <c r="F73" s="146" t="str">
        <f t="shared" si="13"/>
        <v/>
      </c>
      <c r="G73" s="186"/>
      <c r="H73" s="146" t="str">
        <f t="shared" si="14"/>
        <v/>
      </c>
      <c r="I73" s="185"/>
      <c r="J73" s="185"/>
      <c r="K73" s="185"/>
      <c r="M73" s="141" t="str">
        <f t="shared" si="15"/>
        <v/>
      </c>
      <c r="N73" s="141" t="str">
        <f t="shared" si="16"/>
        <v/>
      </c>
      <c r="R73" s="141">
        <v>3812</v>
      </c>
      <c r="S73" s="141" t="s">
        <v>158</v>
      </c>
      <c r="U73" s="141" t="str">
        <f t="shared" si="10"/>
        <v>38</v>
      </c>
      <c r="V73" s="141" t="str">
        <f t="shared" si="11"/>
        <v>381</v>
      </c>
      <c r="X73" t="s">
        <v>820</v>
      </c>
      <c r="Y73" t="s">
        <v>821</v>
      </c>
    </row>
    <row r="74" spans="1:25">
      <c r="A74" s="145" t="str">
        <f>IF(C74="","",VLOOKUP('Opći dio'!$C$3,'Opći dio'!$L$6:$U$136,10,FALSE))</f>
        <v/>
      </c>
      <c r="B74" s="145" t="str">
        <f>IF(C74="","",VLOOKUP('Opći dio'!$C$3,'Opći dio'!$L$6:$U$136,9,FALSE))</f>
        <v/>
      </c>
      <c r="C74" s="151"/>
      <c r="D74" s="146" t="str">
        <f t="shared" si="12"/>
        <v/>
      </c>
      <c r="E74" s="151"/>
      <c r="F74" s="146" t="str">
        <f t="shared" si="13"/>
        <v/>
      </c>
      <c r="G74" s="186"/>
      <c r="H74" s="146" t="str">
        <f t="shared" si="14"/>
        <v/>
      </c>
      <c r="I74" s="185"/>
      <c r="J74" s="185"/>
      <c r="K74" s="185"/>
      <c r="M74" s="141" t="str">
        <f t="shared" si="15"/>
        <v/>
      </c>
      <c r="N74" s="141" t="str">
        <f t="shared" si="16"/>
        <v/>
      </c>
      <c r="R74" s="141">
        <v>3813</v>
      </c>
      <c r="S74" s="141" t="s">
        <v>101</v>
      </c>
      <c r="U74" s="141" t="str">
        <f t="shared" ref="U74:U80" si="17">LEFT(R74,2)</f>
        <v>38</v>
      </c>
      <c r="V74" s="141" t="str">
        <f t="shared" ref="V74:V80" si="18">LEFT(R74,3)</f>
        <v>381</v>
      </c>
      <c r="X74" t="s">
        <v>1204</v>
      </c>
      <c r="Y74" t="s">
        <v>1196</v>
      </c>
    </row>
    <row r="75" spans="1:25">
      <c r="A75" s="145" t="str">
        <f>IF(C75="","",VLOOKUP('Opći dio'!$C$3,'Opći dio'!$L$6:$U$136,10,FALSE))</f>
        <v/>
      </c>
      <c r="B75" s="145" t="str">
        <f>IF(C75="","",VLOOKUP('Opći dio'!$C$3,'Opći dio'!$L$6:$U$136,9,FALSE))</f>
        <v/>
      </c>
      <c r="C75" s="151"/>
      <c r="D75" s="146" t="str">
        <f t="shared" si="12"/>
        <v/>
      </c>
      <c r="E75" s="151"/>
      <c r="F75" s="146" t="str">
        <f t="shared" si="13"/>
        <v/>
      </c>
      <c r="G75" s="186"/>
      <c r="H75" s="146" t="str">
        <f t="shared" si="14"/>
        <v/>
      </c>
      <c r="I75" s="185"/>
      <c r="J75" s="185"/>
      <c r="K75" s="185"/>
      <c r="M75" s="141" t="str">
        <f t="shared" si="15"/>
        <v/>
      </c>
      <c r="N75" s="141" t="str">
        <f t="shared" si="16"/>
        <v/>
      </c>
      <c r="R75" s="141">
        <v>3821</v>
      </c>
      <c r="S75" s="141" t="s">
        <v>176</v>
      </c>
      <c r="U75" s="141" t="str">
        <f t="shared" si="17"/>
        <v>38</v>
      </c>
      <c r="V75" s="141" t="str">
        <f t="shared" si="18"/>
        <v>382</v>
      </c>
      <c r="X75" t="s">
        <v>823</v>
      </c>
      <c r="Y75" t="s">
        <v>1579</v>
      </c>
    </row>
    <row r="76" spans="1:25">
      <c r="A76" s="145" t="str">
        <f>IF(C76="","",VLOOKUP('Opći dio'!$C$3,'Opći dio'!$L$6:$U$136,10,FALSE))</f>
        <v/>
      </c>
      <c r="B76" s="145" t="str">
        <f>IF(C76="","",VLOOKUP('Opći dio'!$C$3,'Opći dio'!$L$6:$U$136,9,FALSE))</f>
        <v/>
      </c>
      <c r="C76" s="151"/>
      <c r="D76" s="146" t="str">
        <f t="shared" si="12"/>
        <v/>
      </c>
      <c r="E76" s="151"/>
      <c r="F76" s="146" t="str">
        <f t="shared" si="13"/>
        <v/>
      </c>
      <c r="G76" s="186"/>
      <c r="H76" s="146" t="str">
        <f t="shared" si="14"/>
        <v/>
      </c>
      <c r="I76" s="185"/>
      <c r="J76" s="185"/>
      <c r="K76" s="185"/>
      <c r="M76" s="141" t="str">
        <f t="shared" si="15"/>
        <v/>
      </c>
      <c r="N76" s="141" t="str">
        <f t="shared" si="16"/>
        <v/>
      </c>
      <c r="R76" s="141">
        <v>3831</v>
      </c>
      <c r="S76" s="141" t="s">
        <v>159</v>
      </c>
      <c r="U76" s="141" t="str">
        <f t="shared" si="17"/>
        <v>38</v>
      </c>
      <c r="V76" s="141" t="str">
        <f t="shared" si="18"/>
        <v>383</v>
      </c>
      <c r="X76" t="s">
        <v>824</v>
      </c>
      <c r="Y76" t="s">
        <v>825</v>
      </c>
    </row>
    <row r="77" spans="1:25">
      <c r="A77" s="145" t="str">
        <f>IF(C77="","",VLOOKUP('Opći dio'!$C$3,'Opći dio'!$L$6:$U$136,10,FALSE))</f>
        <v/>
      </c>
      <c r="B77" s="145" t="str">
        <f>IF(C77="","",VLOOKUP('Opći dio'!$C$3,'Opći dio'!$L$6:$U$136,9,FALSE))</f>
        <v/>
      </c>
      <c r="C77" s="151"/>
      <c r="D77" s="146" t="str">
        <f t="shared" si="12"/>
        <v/>
      </c>
      <c r="E77" s="151"/>
      <c r="F77" s="146" t="str">
        <f t="shared" si="13"/>
        <v/>
      </c>
      <c r="G77" s="186"/>
      <c r="H77" s="146" t="str">
        <f t="shared" si="14"/>
        <v/>
      </c>
      <c r="I77" s="185"/>
      <c r="J77" s="185"/>
      <c r="K77" s="185"/>
      <c r="M77" s="141" t="str">
        <f t="shared" si="15"/>
        <v/>
      </c>
      <c r="N77" s="141" t="str">
        <f t="shared" si="16"/>
        <v/>
      </c>
      <c r="R77" s="141">
        <v>3832</v>
      </c>
      <c r="S77" s="141" t="s">
        <v>199</v>
      </c>
      <c r="U77" s="141" t="str">
        <f t="shared" si="17"/>
        <v>38</v>
      </c>
      <c r="V77" s="141" t="str">
        <f t="shared" si="18"/>
        <v>383</v>
      </c>
      <c r="X77" t="s">
        <v>1238</v>
      </c>
      <c r="Y77" t="s">
        <v>1239</v>
      </c>
    </row>
    <row r="78" spans="1:25">
      <c r="A78" s="145" t="str">
        <f>IF(C78="","",VLOOKUP('Opći dio'!$C$3,'Opći dio'!$L$6:$U$136,10,FALSE))</f>
        <v/>
      </c>
      <c r="B78" s="145" t="str">
        <f>IF(C78="","",VLOOKUP('Opći dio'!$C$3,'Opći dio'!$L$6:$U$136,9,FALSE))</f>
        <v/>
      </c>
      <c r="C78" s="151"/>
      <c r="D78" s="146" t="str">
        <f t="shared" si="12"/>
        <v/>
      </c>
      <c r="E78" s="151"/>
      <c r="F78" s="146" t="str">
        <f t="shared" si="13"/>
        <v/>
      </c>
      <c r="G78" s="186"/>
      <c r="H78" s="146" t="str">
        <f t="shared" si="14"/>
        <v/>
      </c>
      <c r="I78" s="185"/>
      <c r="J78" s="185"/>
      <c r="K78" s="185"/>
      <c r="M78" s="141" t="str">
        <f t="shared" si="15"/>
        <v/>
      </c>
      <c r="N78" s="141" t="str">
        <f t="shared" si="16"/>
        <v/>
      </c>
      <c r="R78" s="141">
        <v>3833</v>
      </c>
      <c r="S78" s="141" t="s">
        <v>160</v>
      </c>
      <c r="U78" s="141" t="str">
        <f t="shared" si="17"/>
        <v>38</v>
      </c>
      <c r="V78" s="141" t="str">
        <f t="shared" si="18"/>
        <v>383</v>
      </c>
      <c r="X78" t="s">
        <v>1240</v>
      </c>
      <c r="Y78" t="s">
        <v>1241</v>
      </c>
    </row>
    <row r="79" spans="1:25">
      <c r="A79" s="145" t="str">
        <f>IF(C79="","",VLOOKUP('Opći dio'!$C$3,'Opći dio'!$L$6:$U$136,10,FALSE))</f>
        <v/>
      </c>
      <c r="B79" s="145" t="str">
        <f>IF(C79="","",VLOOKUP('Opći dio'!$C$3,'Opći dio'!$L$6:$U$136,9,FALSE))</f>
        <v/>
      </c>
      <c r="C79" s="151"/>
      <c r="D79" s="146" t="str">
        <f t="shared" si="12"/>
        <v/>
      </c>
      <c r="E79" s="151"/>
      <c r="F79" s="146" t="str">
        <f t="shared" si="13"/>
        <v/>
      </c>
      <c r="G79" s="186"/>
      <c r="H79" s="146" t="str">
        <f t="shared" si="14"/>
        <v/>
      </c>
      <c r="I79" s="185"/>
      <c r="J79" s="185"/>
      <c r="K79" s="185"/>
      <c r="M79" s="141" t="str">
        <f t="shared" si="15"/>
        <v/>
      </c>
      <c r="N79" s="141" t="str">
        <f t="shared" si="16"/>
        <v/>
      </c>
      <c r="R79" s="141">
        <v>3834</v>
      </c>
      <c r="S79" s="141" t="s">
        <v>161</v>
      </c>
      <c r="U79" s="141" t="str">
        <f t="shared" si="17"/>
        <v>38</v>
      </c>
      <c r="V79" s="141" t="str">
        <f t="shared" si="18"/>
        <v>383</v>
      </c>
      <c r="X79" t="s">
        <v>1244</v>
      </c>
      <c r="Y79" t="s">
        <v>1245</v>
      </c>
    </row>
    <row r="80" spans="1:25">
      <c r="A80" s="145" t="str">
        <f>IF(C80="","",VLOOKUP('Opći dio'!$C$3,'Opći dio'!$L$6:$U$136,10,FALSE))</f>
        <v/>
      </c>
      <c r="B80" s="145" t="str">
        <f>IF(C80="","",VLOOKUP('Opći dio'!$C$3,'Opći dio'!$L$6:$U$136,9,FALSE))</f>
        <v/>
      </c>
      <c r="C80" s="151"/>
      <c r="D80" s="146" t="str">
        <f t="shared" si="12"/>
        <v/>
      </c>
      <c r="E80" s="151"/>
      <c r="F80" s="146" t="str">
        <f t="shared" si="13"/>
        <v/>
      </c>
      <c r="G80" s="186"/>
      <c r="H80" s="146" t="str">
        <f t="shared" si="14"/>
        <v/>
      </c>
      <c r="I80" s="185"/>
      <c r="J80" s="185"/>
      <c r="K80" s="185"/>
      <c r="M80" s="141" t="str">
        <f t="shared" si="15"/>
        <v/>
      </c>
      <c r="N80" s="141" t="str">
        <f t="shared" si="16"/>
        <v/>
      </c>
      <c r="R80" s="141">
        <v>3835</v>
      </c>
      <c r="S80" s="141" t="s">
        <v>162</v>
      </c>
      <c r="U80" s="141" t="str">
        <f t="shared" si="17"/>
        <v>38</v>
      </c>
      <c r="V80" s="141" t="str">
        <f t="shared" si="18"/>
        <v>383</v>
      </c>
      <c r="X80" t="s">
        <v>1246</v>
      </c>
      <c r="Y80" t="s">
        <v>1247</v>
      </c>
    </row>
    <row r="81" spans="1:25">
      <c r="A81" s="145" t="str">
        <f>IF(C81="","",VLOOKUP('Opći dio'!$C$3,'Opći dio'!$L$6:$U$136,10,FALSE))</f>
        <v/>
      </c>
      <c r="B81" s="145" t="str">
        <f>IF(C81="","",VLOOKUP('Opći dio'!$C$3,'Opći dio'!$L$6:$U$136,9,FALSE))</f>
        <v/>
      </c>
      <c r="C81" s="151"/>
      <c r="D81" s="146" t="str">
        <f t="shared" si="12"/>
        <v/>
      </c>
      <c r="E81" s="151"/>
      <c r="F81" s="146" t="str">
        <f t="shared" si="13"/>
        <v/>
      </c>
      <c r="G81" s="186"/>
      <c r="H81" s="146" t="str">
        <f t="shared" si="14"/>
        <v/>
      </c>
      <c r="I81" s="185"/>
      <c r="J81" s="185"/>
      <c r="K81" s="185"/>
      <c r="M81" s="141" t="str">
        <f t="shared" si="15"/>
        <v/>
      </c>
      <c r="N81" s="141" t="str">
        <f t="shared" si="16"/>
        <v/>
      </c>
      <c r="R81" s="197">
        <v>3861</v>
      </c>
      <c r="S81" s="141" t="s">
        <v>788</v>
      </c>
      <c r="T81" s="197"/>
      <c r="U81" s="197" t="str">
        <f>LEFT(R81,2)</f>
        <v>38</v>
      </c>
      <c r="V81" s="197" t="str">
        <f>LEFT(R81,3)</f>
        <v>386</v>
      </c>
      <c r="X81" t="s">
        <v>1248</v>
      </c>
      <c r="Y81" t="s">
        <v>1580</v>
      </c>
    </row>
    <row r="82" spans="1:25">
      <c r="A82" s="145" t="str">
        <f>IF(C82="","",VLOOKUP('Opći dio'!$C$3,'Opći dio'!$L$6:$U$136,10,FALSE))</f>
        <v/>
      </c>
      <c r="B82" s="145" t="str">
        <f>IF(C82="","",VLOOKUP('Opći dio'!$C$3,'Opći dio'!$L$6:$U$136,9,FALSE))</f>
        <v/>
      </c>
      <c r="C82" s="151"/>
      <c r="D82" s="146" t="str">
        <f t="shared" si="12"/>
        <v/>
      </c>
      <c r="E82" s="151"/>
      <c r="F82" s="146" t="str">
        <f t="shared" si="13"/>
        <v/>
      </c>
      <c r="G82" s="186"/>
      <c r="H82" s="146" t="str">
        <f t="shared" si="14"/>
        <v/>
      </c>
      <c r="I82" s="185"/>
      <c r="J82" s="185"/>
      <c r="K82" s="185"/>
      <c r="M82" s="141" t="str">
        <f t="shared" si="15"/>
        <v/>
      </c>
      <c r="N82" s="141" t="str">
        <f t="shared" si="16"/>
        <v/>
      </c>
      <c r="R82" s="196">
        <v>3862</v>
      </c>
      <c r="S82" s="141" t="s">
        <v>789</v>
      </c>
      <c r="U82" s="141" t="str">
        <f>LEFT(R82,2)</f>
        <v>38</v>
      </c>
      <c r="V82" s="141" t="str">
        <f>LEFT(R82,3)</f>
        <v>386</v>
      </c>
      <c r="X82" t="s">
        <v>1249</v>
      </c>
      <c r="Y82" t="s">
        <v>1250</v>
      </c>
    </row>
    <row r="83" spans="1:25">
      <c r="A83" s="145" t="str">
        <f>IF(C83="","",VLOOKUP('Opći dio'!$C$3,'Opći dio'!$L$6:$U$136,10,FALSE))</f>
        <v/>
      </c>
      <c r="B83" s="145" t="str">
        <f>IF(C83="","",VLOOKUP('Opći dio'!$C$3,'Opći dio'!$L$6:$U$136,9,FALSE))</f>
        <v/>
      </c>
      <c r="C83" s="151"/>
      <c r="D83" s="146" t="str">
        <f t="shared" si="12"/>
        <v/>
      </c>
      <c r="E83" s="151"/>
      <c r="F83" s="146" t="str">
        <f t="shared" si="13"/>
        <v/>
      </c>
      <c r="G83" s="186"/>
      <c r="H83" s="146" t="str">
        <f t="shared" si="14"/>
        <v/>
      </c>
      <c r="I83" s="185"/>
      <c r="J83" s="185"/>
      <c r="K83" s="185"/>
      <c r="M83" s="141" t="str">
        <f t="shared" si="15"/>
        <v/>
      </c>
      <c r="N83" s="141" t="str">
        <f t="shared" si="16"/>
        <v/>
      </c>
      <c r="R83" s="196">
        <v>3863</v>
      </c>
      <c r="S83" s="141" t="s">
        <v>790</v>
      </c>
      <c r="U83" s="141" t="str">
        <f>LEFT(R83,2)</f>
        <v>38</v>
      </c>
      <c r="V83" s="141" t="str">
        <f>LEFT(R83,3)</f>
        <v>386</v>
      </c>
      <c r="X83" t="s">
        <v>1255</v>
      </c>
      <c r="Y83" t="s">
        <v>1256</v>
      </c>
    </row>
    <row r="84" spans="1:25">
      <c r="A84" s="145" t="str">
        <f>IF(C84="","",VLOOKUP('Opći dio'!$C$3,'Opći dio'!$L$6:$U$136,10,FALSE))</f>
        <v/>
      </c>
      <c r="B84" s="145" t="str">
        <f>IF(C84="","",VLOOKUP('Opći dio'!$C$3,'Opći dio'!$L$6:$U$136,9,FALSE))</f>
        <v/>
      </c>
      <c r="C84" s="151"/>
      <c r="D84" s="146" t="str">
        <f t="shared" si="12"/>
        <v/>
      </c>
      <c r="E84" s="151"/>
      <c r="F84" s="146" t="str">
        <f t="shared" si="13"/>
        <v/>
      </c>
      <c r="G84" s="186"/>
      <c r="H84" s="146" t="str">
        <f t="shared" si="14"/>
        <v/>
      </c>
      <c r="I84" s="185"/>
      <c r="J84" s="185"/>
      <c r="K84" s="185"/>
      <c r="M84" s="141" t="str">
        <f t="shared" si="15"/>
        <v/>
      </c>
      <c r="N84" s="141" t="str">
        <f t="shared" si="16"/>
        <v/>
      </c>
      <c r="R84" s="141">
        <v>4111</v>
      </c>
      <c r="S84" s="141" t="s">
        <v>163</v>
      </c>
      <c r="U84" s="141" t="str">
        <f t="shared" ref="U84:U101" si="19">LEFT(R84,2)</f>
        <v>41</v>
      </c>
      <c r="V84" s="141" t="str">
        <f t="shared" ref="V84:V118" si="20">LEFT(R84,3)</f>
        <v>411</v>
      </c>
      <c r="X84" t="s">
        <v>1257</v>
      </c>
      <c r="Y84" t="s">
        <v>1258</v>
      </c>
    </row>
    <row r="85" spans="1:25">
      <c r="A85" s="145" t="str">
        <f>IF(C85="","",VLOOKUP('Opći dio'!$C$3,'Opći dio'!$L$6:$U$136,10,FALSE))</f>
        <v/>
      </c>
      <c r="B85" s="145" t="str">
        <f>IF(C85="","",VLOOKUP('Opći dio'!$C$3,'Opći dio'!$L$6:$U$136,9,FALSE))</f>
        <v/>
      </c>
      <c r="C85" s="151"/>
      <c r="D85" s="146" t="str">
        <f t="shared" si="12"/>
        <v/>
      </c>
      <c r="E85" s="151"/>
      <c r="F85" s="146" t="str">
        <f t="shared" si="13"/>
        <v/>
      </c>
      <c r="G85" s="186"/>
      <c r="H85" s="146" t="str">
        <f t="shared" si="14"/>
        <v/>
      </c>
      <c r="I85" s="185"/>
      <c r="J85" s="185"/>
      <c r="K85" s="185"/>
      <c r="M85" s="141" t="str">
        <f t="shared" si="15"/>
        <v/>
      </c>
      <c r="N85" s="141" t="str">
        <f t="shared" si="16"/>
        <v/>
      </c>
      <c r="R85" s="141">
        <v>4113</v>
      </c>
      <c r="S85" s="141" t="s">
        <v>197</v>
      </c>
      <c r="U85" s="141" t="str">
        <f t="shared" si="19"/>
        <v>41</v>
      </c>
      <c r="V85" s="141" t="str">
        <f t="shared" si="20"/>
        <v>411</v>
      </c>
      <c r="X85" t="s">
        <v>1259</v>
      </c>
      <c r="Y85" t="s">
        <v>1260</v>
      </c>
    </row>
    <row r="86" spans="1:25">
      <c r="A86" s="145" t="str">
        <f>IF(C86="","",VLOOKUP('Opći dio'!$C$3,'Opći dio'!$L$6:$U$136,10,FALSE))</f>
        <v/>
      </c>
      <c r="B86" s="145" t="str">
        <f>IF(C86="","",VLOOKUP('Opći dio'!$C$3,'Opći dio'!$L$6:$U$136,9,FALSE))</f>
        <v/>
      </c>
      <c r="C86" s="151"/>
      <c r="D86" s="146" t="str">
        <f t="shared" si="12"/>
        <v/>
      </c>
      <c r="E86" s="151"/>
      <c r="F86" s="146" t="str">
        <f t="shared" si="13"/>
        <v/>
      </c>
      <c r="G86" s="186"/>
      <c r="H86" s="146" t="str">
        <f t="shared" si="14"/>
        <v/>
      </c>
      <c r="I86" s="185"/>
      <c r="J86" s="185"/>
      <c r="K86" s="185"/>
      <c r="M86" s="141" t="str">
        <f t="shared" si="15"/>
        <v/>
      </c>
      <c r="N86" s="141" t="str">
        <f t="shared" si="16"/>
        <v/>
      </c>
      <c r="R86" s="141">
        <v>4122</v>
      </c>
      <c r="S86" s="141" t="s">
        <v>164</v>
      </c>
      <c r="U86" s="141" t="str">
        <f t="shared" si="19"/>
        <v>41</v>
      </c>
      <c r="V86" s="141" t="str">
        <f t="shared" si="20"/>
        <v>412</v>
      </c>
      <c r="X86" t="s">
        <v>1261</v>
      </c>
      <c r="Y86" t="s">
        <v>1262</v>
      </c>
    </row>
    <row r="87" spans="1:25">
      <c r="A87" s="145" t="str">
        <f>IF(C87="","",VLOOKUP('Opći dio'!$C$3,'Opći dio'!$L$6:$U$136,10,FALSE))</f>
        <v/>
      </c>
      <c r="B87" s="145" t="str">
        <f>IF(C87="","",VLOOKUP('Opći dio'!$C$3,'Opći dio'!$L$6:$U$136,9,FALSE))</f>
        <v/>
      </c>
      <c r="C87" s="151"/>
      <c r="D87" s="146" t="str">
        <f t="shared" si="12"/>
        <v/>
      </c>
      <c r="E87" s="151"/>
      <c r="F87" s="146" t="str">
        <f t="shared" si="13"/>
        <v/>
      </c>
      <c r="G87" s="186"/>
      <c r="H87" s="146" t="str">
        <f t="shared" si="14"/>
        <v/>
      </c>
      <c r="I87" s="185"/>
      <c r="J87" s="185"/>
      <c r="K87" s="185"/>
      <c r="M87" s="141" t="str">
        <f t="shared" si="15"/>
        <v/>
      </c>
      <c r="N87" s="141" t="str">
        <f t="shared" si="16"/>
        <v/>
      </c>
      <c r="R87" s="141">
        <v>4123</v>
      </c>
      <c r="S87" s="141" t="s">
        <v>135</v>
      </c>
      <c r="U87" s="141" t="str">
        <f t="shared" si="19"/>
        <v>41</v>
      </c>
      <c r="V87" s="141" t="str">
        <f t="shared" si="20"/>
        <v>412</v>
      </c>
      <c r="X87" t="s">
        <v>1263</v>
      </c>
      <c r="Y87" t="s">
        <v>1264</v>
      </c>
    </row>
    <row r="88" spans="1:25">
      <c r="A88" s="145" t="str">
        <f>IF(C88="","",VLOOKUP('Opći dio'!$C$3,'Opći dio'!$L$6:$U$136,10,FALSE))</f>
        <v/>
      </c>
      <c r="B88" s="145" t="str">
        <f>IF(C88="","",VLOOKUP('Opći dio'!$C$3,'Opći dio'!$L$6:$U$136,9,FALSE))</f>
        <v/>
      </c>
      <c r="C88" s="151"/>
      <c r="D88" s="146" t="str">
        <f t="shared" si="12"/>
        <v/>
      </c>
      <c r="E88" s="151"/>
      <c r="F88" s="146" t="str">
        <f t="shared" si="13"/>
        <v/>
      </c>
      <c r="G88" s="186"/>
      <c r="H88" s="146" t="str">
        <f t="shared" si="14"/>
        <v/>
      </c>
      <c r="I88" s="185"/>
      <c r="J88" s="185"/>
      <c r="K88" s="185"/>
      <c r="M88" s="141" t="str">
        <f t="shared" si="15"/>
        <v/>
      </c>
      <c r="N88" s="141" t="str">
        <f t="shared" si="16"/>
        <v/>
      </c>
      <c r="R88" s="141">
        <v>4124</v>
      </c>
      <c r="S88" s="141" t="s">
        <v>121</v>
      </c>
      <c r="U88" s="141" t="str">
        <f t="shared" si="19"/>
        <v>41</v>
      </c>
      <c r="V88" s="141" t="str">
        <f t="shared" si="20"/>
        <v>412</v>
      </c>
      <c r="X88" t="s">
        <v>1265</v>
      </c>
      <c r="Y88" t="s">
        <v>1266</v>
      </c>
    </row>
    <row r="89" spans="1:25">
      <c r="A89" s="145" t="str">
        <f>IF(C89="","",VLOOKUP('Opći dio'!$C$3,'Opći dio'!$L$6:$U$136,10,FALSE))</f>
        <v/>
      </c>
      <c r="B89" s="145" t="str">
        <f>IF(C89="","",VLOOKUP('Opći dio'!$C$3,'Opći dio'!$L$6:$U$136,9,FALSE))</f>
        <v/>
      </c>
      <c r="C89" s="151"/>
      <c r="D89" s="146" t="str">
        <f t="shared" si="12"/>
        <v/>
      </c>
      <c r="E89" s="151"/>
      <c r="F89" s="146" t="str">
        <f t="shared" si="13"/>
        <v/>
      </c>
      <c r="G89" s="186"/>
      <c r="H89" s="146" t="str">
        <f t="shared" si="14"/>
        <v/>
      </c>
      <c r="I89" s="185"/>
      <c r="J89" s="185"/>
      <c r="K89" s="185"/>
      <c r="M89" s="141" t="str">
        <f t="shared" si="15"/>
        <v/>
      </c>
      <c r="N89" s="141" t="str">
        <f t="shared" si="16"/>
        <v/>
      </c>
      <c r="R89" s="141">
        <v>4126</v>
      </c>
      <c r="S89" s="141" t="s">
        <v>165</v>
      </c>
      <c r="U89" s="141" t="str">
        <f t="shared" si="19"/>
        <v>41</v>
      </c>
      <c r="V89" s="141" t="str">
        <f t="shared" si="20"/>
        <v>412</v>
      </c>
      <c r="X89" t="s">
        <v>1267</v>
      </c>
      <c r="Y89" t="s">
        <v>1268</v>
      </c>
    </row>
    <row r="90" spans="1:25">
      <c r="A90" s="145" t="str">
        <f>IF(C90="","",VLOOKUP('Opći dio'!$C$3,'Opći dio'!$L$6:$U$136,10,FALSE))</f>
        <v/>
      </c>
      <c r="B90" s="145" t="str">
        <f>IF(C90="","",VLOOKUP('Opći dio'!$C$3,'Opći dio'!$L$6:$U$136,9,FALSE))</f>
        <v/>
      </c>
      <c r="C90" s="151"/>
      <c r="D90" s="146" t="str">
        <f t="shared" si="12"/>
        <v/>
      </c>
      <c r="E90" s="151"/>
      <c r="F90" s="146" t="str">
        <f t="shared" si="13"/>
        <v/>
      </c>
      <c r="G90" s="186"/>
      <c r="H90" s="146" t="str">
        <f t="shared" si="14"/>
        <v/>
      </c>
      <c r="I90" s="185"/>
      <c r="J90" s="185"/>
      <c r="K90" s="185"/>
      <c r="M90" s="141" t="str">
        <f t="shared" si="15"/>
        <v/>
      </c>
      <c r="N90" s="141" t="str">
        <f t="shared" si="16"/>
        <v/>
      </c>
      <c r="R90" s="141">
        <v>4211</v>
      </c>
      <c r="S90" s="141" t="s">
        <v>179</v>
      </c>
      <c r="U90" s="141" t="str">
        <f t="shared" si="19"/>
        <v>42</v>
      </c>
      <c r="V90" s="141" t="str">
        <f t="shared" si="20"/>
        <v>421</v>
      </c>
      <c r="X90" t="s">
        <v>1269</v>
      </c>
      <c r="Y90" t="s">
        <v>1270</v>
      </c>
    </row>
    <row r="91" spans="1:25">
      <c r="A91" s="145" t="str">
        <f>IF(C91="","",VLOOKUP('Opći dio'!$C$3,'Opći dio'!$L$6:$U$136,10,FALSE))</f>
        <v/>
      </c>
      <c r="B91" s="145" t="str">
        <f>IF(C91="","",VLOOKUP('Opći dio'!$C$3,'Opći dio'!$L$6:$U$136,9,FALSE))</f>
        <v/>
      </c>
      <c r="C91" s="151"/>
      <c r="D91" s="146" t="str">
        <f t="shared" si="12"/>
        <v/>
      </c>
      <c r="E91" s="151"/>
      <c r="F91" s="146" t="str">
        <f t="shared" si="13"/>
        <v/>
      </c>
      <c r="G91" s="186"/>
      <c r="H91" s="146" t="str">
        <f t="shared" si="14"/>
        <v/>
      </c>
      <c r="I91" s="185"/>
      <c r="J91" s="185"/>
      <c r="K91" s="185"/>
      <c r="M91" s="141" t="str">
        <f t="shared" si="15"/>
        <v/>
      </c>
      <c r="N91" s="141" t="str">
        <f t="shared" si="16"/>
        <v/>
      </c>
      <c r="R91" s="141">
        <v>4212</v>
      </c>
      <c r="S91" s="141" t="s">
        <v>67</v>
      </c>
      <c r="U91" s="141" t="str">
        <f t="shared" si="19"/>
        <v>42</v>
      </c>
      <c r="V91" s="141" t="str">
        <f t="shared" si="20"/>
        <v>421</v>
      </c>
      <c r="X91" t="s">
        <v>1271</v>
      </c>
      <c r="Y91" t="s">
        <v>1272</v>
      </c>
    </row>
    <row r="92" spans="1:25">
      <c r="A92" s="145" t="str">
        <f>IF(C92="","",VLOOKUP('Opći dio'!$C$3,'Opći dio'!$L$6:$U$136,10,FALSE))</f>
        <v/>
      </c>
      <c r="B92" s="145" t="str">
        <f>IF(C92="","",VLOOKUP('Opći dio'!$C$3,'Opći dio'!$L$6:$U$136,9,FALSE))</f>
        <v/>
      </c>
      <c r="C92" s="151"/>
      <c r="D92" s="146" t="str">
        <f t="shared" si="12"/>
        <v/>
      </c>
      <c r="E92" s="151"/>
      <c r="F92" s="146" t="str">
        <f t="shared" si="13"/>
        <v/>
      </c>
      <c r="G92" s="186"/>
      <c r="H92" s="146" t="str">
        <f t="shared" si="14"/>
        <v/>
      </c>
      <c r="I92" s="185"/>
      <c r="J92" s="185"/>
      <c r="K92" s="185"/>
      <c r="M92" s="141" t="str">
        <f t="shared" si="15"/>
        <v/>
      </c>
      <c r="N92" s="141" t="str">
        <f t="shared" si="16"/>
        <v/>
      </c>
      <c r="R92" s="141">
        <v>4213</v>
      </c>
      <c r="S92" s="141" t="s">
        <v>166</v>
      </c>
      <c r="U92" s="141" t="str">
        <f t="shared" si="19"/>
        <v>42</v>
      </c>
      <c r="V92" s="141" t="str">
        <f t="shared" si="20"/>
        <v>421</v>
      </c>
      <c r="X92" t="s">
        <v>1273</v>
      </c>
      <c r="Y92" t="s">
        <v>1274</v>
      </c>
    </row>
    <row r="93" spans="1:25">
      <c r="A93" s="145" t="str">
        <f>IF(C93="","",VLOOKUP('Opći dio'!$C$3,'Opći dio'!$L$6:$U$136,10,FALSE))</f>
        <v/>
      </c>
      <c r="B93" s="145" t="str">
        <f>IF(C93="","",VLOOKUP('Opći dio'!$C$3,'Opći dio'!$L$6:$U$136,9,FALSE))</f>
        <v/>
      </c>
      <c r="C93" s="151"/>
      <c r="D93" s="146" t="str">
        <f t="shared" si="12"/>
        <v/>
      </c>
      <c r="E93" s="151"/>
      <c r="F93" s="146" t="str">
        <f t="shared" si="13"/>
        <v/>
      </c>
      <c r="G93" s="186"/>
      <c r="H93" s="146" t="str">
        <f t="shared" si="14"/>
        <v/>
      </c>
      <c r="I93" s="185"/>
      <c r="J93" s="185"/>
      <c r="K93" s="185"/>
      <c r="M93" s="141" t="str">
        <f t="shared" si="15"/>
        <v/>
      </c>
      <c r="N93" s="141" t="str">
        <f t="shared" si="16"/>
        <v/>
      </c>
      <c r="R93" s="141">
        <v>4214</v>
      </c>
      <c r="S93" s="141" t="s">
        <v>167</v>
      </c>
      <c r="U93" s="141" t="str">
        <f t="shared" si="19"/>
        <v>42</v>
      </c>
      <c r="V93" s="141" t="str">
        <f t="shared" si="20"/>
        <v>421</v>
      </c>
      <c r="X93" t="s">
        <v>1275</v>
      </c>
      <c r="Y93" t="s">
        <v>1276</v>
      </c>
    </row>
    <row r="94" spans="1:25">
      <c r="A94" s="145" t="str">
        <f>IF(C94="","",VLOOKUP('Opći dio'!$C$3,'Opći dio'!$L$6:$U$136,10,FALSE))</f>
        <v/>
      </c>
      <c r="B94" s="145" t="str">
        <f>IF(C94="","",VLOOKUP('Opći dio'!$C$3,'Opći dio'!$L$6:$U$136,9,FALSE))</f>
        <v/>
      </c>
      <c r="C94" s="151"/>
      <c r="D94" s="146" t="str">
        <f t="shared" si="12"/>
        <v/>
      </c>
      <c r="E94" s="151"/>
      <c r="F94" s="146" t="str">
        <f t="shared" si="13"/>
        <v/>
      </c>
      <c r="G94" s="186"/>
      <c r="H94" s="146" t="str">
        <f t="shared" si="14"/>
        <v/>
      </c>
      <c r="I94" s="185"/>
      <c r="J94" s="185"/>
      <c r="K94" s="185"/>
      <c r="M94" s="141" t="str">
        <f t="shared" si="15"/>
        <v/>
      </c>
      <c r="N94" s="141" t="str">
        <f t="shared" si="16"/>
        <v/>
      </c>
      <c r="R94" s="141">
        <v>4221</v>
      </c>
      <c r="S94" s="141" t="s">
        <v>102</v>
      </c>
      <c r="U94" s="141" t="str">
        <f t="shared" si="19"/>
        <v>42</v>
      </c>
      <c r="V94" s="141" t="str">
        <f t="shared" si="20"/>
        <v>422</v>
      </c>
      <c r="X94" t="s">
        <v>2074</v>
      </c>
      <c r="Y94" t="s">
        <v>2075</v>
      </c>
    </row>
    <row r="95" spans="1:25">
      <c r="A95" s="145" t="str">
        <f>IF(C95="","",VLOOKUP('Opći dio'!$C$3,'Opći dio'!$L$6:$U$136,10,FALSE))</f>
        <v/>
      </c>
      <c r="B95" s="145" t="str">
        <f>IF(C95="","",VLOOKUP('Opći dio'!$C$3,'Opći dio'!$L$6:$U$136,9,FALSE))</f>
        <v/>
      </c>
      <c r="C95" s="151"/>
      <c r="D95" s="146" t="str">
        <f t="shared" si="12"/>
        <v/>
      </c>
      <c r="E95" s="151"/>
      <c r="F95" s="146" t="str">
        <f t="shared" si="13"/>
        <v/>
      </c>
      <c r="G95" s="186"/>
      <c r="H95" s="146" t="str">
        <f t="shared" si="14"/>
        <v/>
      </c>
      <c r="I95" s="185"/>
      <c r="J95" s="185"/>
      <c r="K95" s="185"/>
      <c r="M95" s="141" t="str">
        <f t="shared" si="15"/>
        <v/>
      </c>
      <c r="N95" s="141" t="str">
        <f t="shared" si="16"/>
        <v/>
      </c>
      <c r="R95" s="141">
        <v>4222</v>
      </c>
      <c r="S95" s="141" t="s">
        <v>113</v>
      </c>
      <c r="U95" s="141" t="str">
        <f t="shared" si="19"/>
        <v>42</v>
      </c>
      <c r="V95" s="141" t="str">
        <f t="shared" si="20"/>
        <v>422</v>
      </c>
      <c r="X95" t="s">
        <v>1277</v>
      </c>
      <c r="Y95" t="s">
        <v>1278</v>
      </c>
    </row>
    <row r="96" spans="1:25">
      <c r="A96" s="145" t="str">
        <f>IF(C96="","",VLOOKUP('Opći dio'!$C$3,'Opći dio'!$L$6:$U$136,10,FALSE))</f>
        <v/>
      </c>
      <c r="B96" s="145" t="str">
        <f>IF(C96="","",VLOOKUP('Opći dio'!$C$3,'Opći dio'!$L$6:$U$136,9,FALSE))</f>
        <v/>
      </c>
      <c r="C96" s="151"/>
      <c r="D96" s="146" t="str">
        <f t="shared" si="12"/>
        <v/>
      </c>
      <c r="E96" s="151"/>
      <c r="F96" s="146" t="str">
        <f t="shared" si="13"/>
        <v/>
      </c>
      <c r="G96" s="186"/>
      <c r="H96" s="146" t="str">
        <f t="shared" si="14"/>
        <v/>
      </c>
      <c r="I96" s="185"/>
      <c r="J96" s="185"/>
      <c r="K96" s="185"/>
      <c r="M96" s="141" t="str">
        <f t="shared" si="15"/>
        <v/>
      </c>
      <c r="N96" s="141" t="str">
        <f t="shared" si="16"/>
        <v/>
      </c>
      <c r="R96" s="141">
        <v>4223</v>
      </c>
      <c r="S96" s="141" t="s">
        <v>126</v>
      </c>
      <c r="U96" s="141" t="str">
        <f t="shared" si="19"/>
        <v>42</v>
      </c>
      <c r="V96" s="141" t="str">
        <f t="shared" si="20"/>
        <v>422</v>
      </c>
      <c r="X96" t="s">
        <v>1279</v>
      </c>
      <c r="Y96" t="s">
        <v>1280</v>
      </c>
    </row>
    <row r="97" spans="1:25">
      <c r="A97" s="145" t="str">
        <f>IF(C97="","",VLOOKUP('Opći dio'!$C$3,'Opći dio'!$L$6:$U$136,10,FALSE))</f>
        <v/>
      </c>
      <c r="B97" s="145" t="str">
        <f>IF(C97="","",VLOOKUP('Opći dio'!$C$3,'Opći dio'!$L$6:$U$136,9,FALSE))</f>
        <v/>
      </c>
      <c r="C97" s="151"/>
      <c r="D97" s="146" t="str">
        <f t="shared" si="12"/>
        <v/>
      </c>
      <c r="E97" s="151"/>
      <c r="F97" s="146" t="str">
        <f t="shared" si="13"/>
        <v/>
      </c>
      <c r="G97" s="186"/>
      <c r="H97" s="146" t="str">
        <f t="shared" si="14"/>
        <v/>
      </c>
      <c r="I97" s="185"/>
      <c r="J97" s="185"/>
      <c r="K97" s="185"/>
      <c r="M97" s="141" t="str">
        <f t="shared" si="15"/>
        <v/>
      </c>
      <c r="N97" s="141" t="str">
        <f t="shared" si="16"/>
        <v/>
      </c>
      <c r="R97" s="141">
        <v>4224</v>
      </c>
      <c r="S97" s="141" t="s">
        <v>119</v>
      </c>
      <c r="U97" s="141" t="str">
        <f t="shared" si="19"/>
        <v>42</v>
      </c>
      <c r="V97" s="141" t="str">
        <f t="shared" si="20"/>
        <v>422</v>
      </c>
      <c r="X97" t="s">
        <v>1287</v>
      </c>
      <c r="Y97" t="s">
        <v>1288</v>
      </c>
    </row>
    <row r="98" spans="1:25">
      <c r="A98" s="145" t="str">
        <f>IF(C98="","",VLOOKUP('Opći dio'!$C$3,'Opći dio'!$L$6:$U$136,10,FALSE))</f>
        <v/>
      </c>
      <c r="B98" s="145" t="str">
        <f>IF(C98="","",VLOOKUP('Opći dio'!$C$3,'Opći dio'!$L$6:$U$136,9,FALSE))</f>
        <v/>
      </c>
      <c r="C98" s="151"/>
      <c r="D98" s="146" t="str">
        <f t="shared" si="12"/>
        <v/>
      </c>
      <c r="E98" s="151"/>
      <c r="F98" s="146" t="str">
        <f t="shared" si="13"/>
        <v/>
      </c>
      <c r="G98" s="186"/>
      <c r="H98" s="146" t="str">
        <f t="shared" si="14"/>
        <v/>
      </c>
      <c r="I98" s="185"/>
      <c r="J98" s="185"/>
      <c r="K98" s="185"/>
      <c r="M98" s="141" t="str">
        <f t="shared" si="15"/>
        <v/>
      </c>
      <c r="N98" s="141" t="str">
        <f t="shared" si="16"/>
        <v/>
      </c>
      <c r="R98" s="141">
        <v>4225</v>
      </c>
      <c r="S98" s="141" t="s">
        <v>123</v>
      </c>
      <c r="U98" s="141" t="str">
        <f t="shared" si="19"/>
        <v>42</v>
      </c>
      <c r="V98" s="141" t="str">
        <f t="shared" si="20"/>
        <v>422</v>
      </c>
      <c r="X98" t="s">
        <v>1289</v>
      </c>
      <c r="Y98" t="s">
        <v>1582</v>
      </c>
    </row>
    <row r="99" spans="1:25">
      <c r="A99" s="145" t="str">
        <f>IF(C99="","",VLOOKUP('Opći dio'!$C$3,'Opći dio'!$L$6:$U$136,10,FALSE))</f>
        <v/>
      </c>
      <c r="B99" s="145" t="str">
        <f>IF(C99="","",VLOOKUP('Opći dio'!$C$3,'Opći dio'!$L$6:$U$136,9,FALSE))</f>
        <v/>
      </c>
      <c r="C99" s="151"/>
      <c r="D99" s="146" t="str">
        <f t="shared" si="12"/>
        <v/>
      </c>
      <c r="E99" s="151"/>
      <c r="F99" s="146" t="str">
        <f t="shared" si="13"/>
        <v/>
      </c>
      <c r="G99" s="186"/>
      <c r="H99" s="146" t="str">
        <f t="shared" si="14"/>
        <v/>
      </c>
      <c r="I99" s="185"/>
      <c r="J99" s="185"/>
      <c r="K99" s="185"/>
      <c r="M99" s="141" t="str">
        <f t="shared" si="15"/>
        <v/>
      </c>
      <c r="N99" s="141" t="str">
        <f t="shared" si="16"/>
        <v/>
      </c>
      <c r="R99" s="141">
        <v>4226</v>
      </c>
      <c r="S99" s="141" t="s">
        <v>168</v>
      </c>
      <c r="U99" s="141" t="str">
        <f t="shared" si="19"/>
        <v>42</v>
      </c>
      <c r="V99" s="141" t="str">
        <f t="shared" si="20"/>
        <v>422</v>
      </c>
      <c r="X99" t="s">
        <v>1292</v>
      </c>
      <c r="Y99" t="s">
        <v>1293</v>
      </c>
    </row>
    <row r="100" spans="1:25">
      <c r="A100" s="145" t="str">
        <f>IF(C100="","",VLOOKUP('Opći dio'!$C$3,'Opći dio'!$L$6:$U$136,10,FALSE))</f>
        <v/>
      </c>
      <c r="B100" s="145" t="str">
        <f>IF(C100="","",VLOOKUP('Opći dio'!$C$3,'Opći dio'!$L$6:$U$136,9,FALSE))</f>
        <v/>
      </c>
      <c r="C100" s="151"/>
      <c r="D100" s="146" t="str">
        <f t="shared" si="12"/>
        <v/>
      </c>
      <c r="E100" s="151"/>
      <c r="F100" s="146" t="str">
        <f t="shared" si="13"/>
        <v/>
      </c>
      <c r="G100" s="186"/>
      <c r="H100" s="146" t="str">
        <f t="shared" si="14"/>
        <v/>
      </c>
      <c r="I100" s="185"/>
      <c r="J100" s="185"/>
      <c r="K100" s="185"/>
      <c r="M100" s="141" t="str">
        <f t="shared" si="15"/>
        <v/>
      </c>
      <c r="N100" s="141" t="str">
        <f t="shared" si="16"/>
        <v/>
      </c>
      <c r="R100" s="141">
        <v>4227</v>
      </c>
      <c r="S100" s="141" t="s">
        <v>136</v>
      </c>
      <c r="U100" s="141" t="str">
        <f t="shared" si="19"/>
        <v>42</v>
      </c>
      <c r="V100" s="141" t="str">
        <f t="shared" si="20"/>
        <v>422</v>
      </c>
      <c r="X100" t="s">
        <v>1294</v>
      </c>
      <c r="Y100" t="s">
        <v>1581</v>
      </c>
    </row>
    <row r="101" spans="1:25">
      <c r="A101" s="145" t="str">
        <f>IF(C101="","",VLOOKUP('Opći dio'!$C$3,'Opći dio'!$L$6:$U$136,10,FALSE))</f>
        <v/>
      </c>
      <c r="B101" s="145" t="str">
        <f>IF(C101="","",VLOOKUP('Opći dio'!$C$3,'Opći dio'!$L$6:$U$136,9,FALSE))</f>
        <v/>
      </c>
      <c r="C101" s="151"/>
      <c r="D101" s="146" t="str">
        <f t="shared" si="12"/>
        <v/>
      </c>
      <c r="E101" s="151"/>
      <c r="F101" s="146" t="str">
        <f t="shared" si="13"/>
        <v/>
      </c>
      <c r="G101" s="186"/>
      <c r="H101" s="146" t="str">
        <f t="shared" si="14"/>
        <v/>
      </c>
      <c r="I101" s="185"/>
      <c r="J101" s="185"/>
      <c r="K101" s="185"/>
      <c r="M101" s="141" t="str">
        <f t="shared" si="15"/>
        <v/>
      </c>
      <c r="N101" s="141" t="str">
        <f t="shared" si="16"/>
        <v/>
      </c>
      <c r="R101" s="141">
        <v>4231</v>
      </c>
      <c r="S101" s="141" t="s">
        <v>169</v>
      </c>
      <c r="U101" s="141" t="str">
        <f t="shared" si="19"/>
        <v>42</v>
      </c>
      <c r="V101" s="141" t="str">
        <f t="shared" si="20"/>
        <v>423</v>
      </c>
      <c r="X101" t="s">
        <v>1295</v>
      </c>
      <c r="Y101" t="s">
        <v>1296</v>
      </c>
    </row>
    <row r="102" spans="1:25">
      <c r="A102" s="145" t="str">
        <f>IF(C102="","",VLOOKUP('Opći dio'!$C$3,'Opći dio'!$L$6:$U$136,10,FALSE))</f>
        <v/>
      </c>
      <c r="B102" s="145" t="str">
        <f>IF(C102="","",VLOOKUP('Opći dio'!$C$3,'Opći dio'!$L$6:$U$136,9,FALSE))</f>
        <v/>
      </c>
      <c r="C102" s="151"/>
      <c r="D102" s="146" t="str">
        <f t="shared" si="12"/>
        <v/>
      </c>
      <c r="E102" s="151"/>
      <c r="F102" s="146" t="str">
        <f t="shared" si="13"/>
        <v/>
      </c>
      <c r="G102" s="186"/>
      <c r="H102" s="146" t="str">
        <f t="shared" si="14"/>
        <v/>
      </c>
      <c r="I102" s="185"/>
      <c r="J102" s="185"/>
      <c r="K102" s="185"/>
      <c r="M102" s="141" t="str">
        <f t="shared" si="15"/>
        <v/>
      </c>
      <c r="N102" s="141" t="str">
        <f t="shared" si="16"/>
        <v/>
      </c>
      <c r="R102" s="141">
        <v>4233</v>
      </c>
      <c r="S102" s="141" t="s">
        <v>177</v>
      </c>
      <c r="U102" s="141" t="str">
        <f t="shared" ref="U102:U129" si="21">LEFT(R102,2)</f>
        <v>42</v>
      </c>
      <c r="V102" s="141" t="str">
        <f t="shared" si="20"/>
        <v>423</v>
      </c>
      <c r="X102" t="s">
        <v>1297</v>
      </c>
      <c r="Y102" t="s">
        <v>1583</v>
      </c>
    </row>
    <row r="103" spans="1:25">
      <c r="A103" s="145" t="str">
        <f>IF(C103="","",VLOOKUP('Opći dio'!$C$3,'Opći dio'!$L$6:$U$136,10,FALSE))</f>
        <v/>
      </c>
      <c r="B103" s="145" t="str">
        <f>IF(C103="","",VLOOKUP('Opći dio'!$C$3,'Opći dio'!$L$6:$U$136,9,FALSE))</f>
        <v/>
      </c>
      <c r="C103" s="151"/>
      <c r="D103" s="146" t="str">
        <f t="shared" si="12"/>
        <v/>
      </c>
      <c r="E103" s="151"/>
      <c r="F103" s="146" t="str">
        <f t="shared" si="13"/>
        <v/>
      </c>
      <c r="G103" s="186"/>
      <c r="H103" s="146" t="str">
        <f t="shared" si="14"/>
        <v/>
      </c>
      <c r="I103" s="185"/>
      <c r="J103" s="185"/>
      <c r="K103" s="185"/>
      <c r="M103" s="141" t="str">
        <f t="shared" si="15"/>
        <v/>
      </c>
      <c r="N103" s="141" t="str">
        <f t="shared" si="16"/>
        <v/>
      </c>
      <c r="R103" s="141">
        <v>4241</v>
      </c>
      <c r="S103" s="141" t="s">
        <v>114</v>
      </c>
      <c r="U103" s="141" t="str">
        <f t="shared" si="21"/>
        <v>42</v>
      </c>
      <c r="V103" s="141" t="str">
        <f t="shared" si="20"/>
        <v>424</v>
      </c>
      <c r="X103" t="s">
        <v>1302</v>
      </c>
      <c r="Y103" t="s">
        <v>1303</v>
      </c>
    </row>
    <row r="104" spans="1:25">
      <c r="A104" s="145" t="str">
        <f>IF(C104="","",VLOOKUP('Opći dio'!$C$3,'Opći dio'!$L$6:$U$136,10,FALSE))</f>
        <v/>
      </c>
      <c r="B104" s="145" t="str">
        <f>IF(C104="","",VLOOKUP('Opći dio'!$C$3,'Opći dio'!$L$6:$U$136,9,FALSE))</f>
        <v/>
      </c>
      <c r="C104" s="151"/>
      <c r="D104" s="146" t="str">
        <f t="shared" si="12"/>
        <v/>
      </c>
      <c r="E104" s="151"/>
      <c r="F104" s="146" t="str">
        <f t="shared" si="13"/>
        <v/>
      </c>
      <c r="G104" s="186"/>
      <c r="H104" s="146" t="str">
        <f t="shared" si="14"/>
        <v/>
      </c>
      <c r="I104" s="185"/>
      <c r="J104" s="185"/>
      <c r="K104" s="185"/>
      <c r="M104" s="141" t="str">
        <f t="shared" si="15"/>
        <v/>
      </c>
      <c r="N104" s="141" t="str">
        <f t="shared" si="16"/>
        <v/>
      </c>
      <c r="R104" s="141">
        <v>4242</v>
      </c>
      <c r="S104" s="141" t="s">
        <v>146</v>
      </c>
      <c r="U104" s="141" t="str">
        <f t="shared" si="21"/>
        <v>42</v>
      </c>
      <c r="V104" s="141" t="str">
        <f t="shared" si="20"/>
        <v>424</v>
      </c>
      <c r="X104" t="s">
        <v>1304</v>
      </c>
      <c r="Y104" t="s">
        <v>1305</v>
      </c>
    </row>
    <row r="105" spans="1:25">
      <c r="A105" s="145" t="str">
        <f>IF(C105="","",VLOOKUP('Opći dio'!$C$3,'Opći dio'!$L$6:$U$136,10,FALSE))</f>
        <v/>
      </c>
      <c r="B105" s="145" t="str">
        <f>IF(C105="","",VLOOKUP('Opći dio'!$C$3,'Opći dio'!$L$6:$U$136,9,FALSE))</f>
        <v/>
      </c>
      <c r="C105" s="151"/>
      <c r="D105" s="146" t="str">
        <f t="shared" si="12"/>
        <v/>
      </c>
      <c r="E105" s="151"/>
      <c r="F105" s="146" t="str">
        <f t="shared" si="13"/>
        <v/>
      </c>
      <c r="G105" s="186"/>
      <c r="H105" s="146" t="str">
        <f t="shared" si="14"/>
        <v/>
      </c>
      <c r="I105" s="185"/>
      <c r="J105" s="185"/>
      <c r="K105" s="185"/>
      <c r="M105" s="141" t="str">
        <f t="shared" si="15"/>
        <v/>
      </c>
      <c r="N105" s="141" t="str">
        <f t="shared" si="16"/>
        <v/>
      </c>
      <c r="R105" s="141">
        <v>4244</v>
      </c>
      <c r="S105" s="141" t="s">
        <v>178</v>
      </c>
      <c r="U105" s="141" t="str">
        <f t="shared" si="21"/>
        <v>42</v>
      </c>
      <c r="V105" s="141" t="str">
        <f t="shared" si="20"/>
        <v>424</v>
      </c>
      <c r="X105" t="s">
        <v>1306</v>
      </c>
      <c r="Y105" t="s">
        <v>1307</v>
      </c>
    </row>
    <row r="106" spans="1:25">
      <c r="A106" s="145" t="str">
        <f>IF(C106="","",VLOOKUP('Opći dio'!$C$3,'Opći dio'!$L$6:$U$136,10,FALSE))</f>
        <v/>
      </c>
      <c r="B106" s="145" t="str">
        <f>IF(C106="","",VLOOKUP('Opći dio'!$C$3,'Opći dio'!$L$6:$U$136,9,FALSE))</f>
        <v/>
      </c>
      <c r="C106" s="151"/>
      <c r="D106" s="146" t="str">
        <f t="shared" si="12"/>
        <v/>
      </c>
      <c r="E106" s="151"/>
      <c r="F106" s="146" t="str">
        <f t="shared" si="13"/>
        <v/>
      </c>
      <c r="G106" s="186"/>
      <c r="H106" s="146" t="str">
        <f t="shared" si="14"/>
        <v/>
      </c>
      <c r="I106" s="185"/>
      <c r="J106" s="185"/>
      <c r="K106" s="185"/>
      <c r="M106" s="141" t="str">
        <f t="shared" si="15"/>
        <v/>
      </c>
      <c r="N106" s="141" t="str">
        <f t="shared" si="16"/>
        <v/>
      </c>
      <c r="R106" s="141">
        <v>4251</v>
      </c>
      <c r="S106" s="141" t="s">
        <v>170</v>
      </c>
      <c r="U106" s="141" t="str">
        <f t="shared" si="21"/>
        <v>42</v>
      </c>
      <c r="V106" s="141" t="str">
        <f t="shared" si="20"/>
        <v>425</v>
      </c>
      <c r="X106" t="s">
        <v>1308</v>
      </c>
      <c r="Y106" t="s">
        <v>1309</v>
      </c>
    </row>
    <row r="107" spans="1:25">
      <c r="A107" s="145" t="str">
        <f>IF(C107="","",VLOOKUP('Opći dio'!$C$3,'Opći dio'!$L$6:$U$136,10,FALSE))</f>
        <v/>
      </c>
      <c r="B107" s="145" t="str">
        <f>IF(C107="","",VLOOKUP('Opći dio'!$C$3,'Opći dio'!$L$6:$U$136,9,FALSE))</f>
        <v/>
      </c>
      <c r="C107" s="151"/>
      <c r="D107" s="146" t="str">
        <f t="shared" si="12"/>
        <v/>
      </c>
      <c r="E107" s="151"/>
      <c r="F107" s="146" t="str">
        <f t="shared" si="13"/>
        <v/>
      </c>
      <c r="G107" s="186"/>
      <c r="H107" s="146" t="str">
        <f t="shared" si="14"/>
        <v/>
      </c>
      <c r="I107" s="185"/>
      <c r="J107" s="185"/>
      <c r="K107" s="185"/>
      <c r="M107" s="141" t="str">
        <f t="shared" si="15"/>
        <v/>
      </c>
      <c r="N107" s="141" t="str">
        <f t="shared" si="16"/>
        <v/>
      </c>
      <c r="R107" s="141">
        <v>4252</v>
      </c>
      <c r="S107" s="141" t="s">
        <v>171</v>
      </c>
      <c r="U107" s="141" t="str">
        <f t="shared" si="21"/>
        <v>42</v>
      </c>
      <c r="V107" s="141" t="str">
        <f t="shared" si="20"/>
        <v>425</v>
      </c>
      <c r="X107" t="s">
        <v>1310</v>
      </c>
      <c r="Y107" t="s">
        <v>1311</v>
      </c>
    </row>
    <row r="108" spans="1:25">
      <c r="A108" s="145" t="str">
        <f>IF(C108="","",VLOOKUP('Opći dio'!$C$3,'Opći dio'!$L$6:$U$136,10,FALSE))</f>
        <v/>
      </c>
      <c r="B108" s="145" t="str">
        <f>IF(C108="","",VLOOKUP('Opći dio'!$C$3,'Opći dio'!$L$6:$U$136,9,FALSE))</f>
        <v/>
      </c>
      <c r="C108" s="151"/>
      <c r="D108" s="146" t="str">
        <f t="shared" si="12"/>
        <v/>
      </c>
      <c r="E108" s="151"/>
      <c r="F108" s="146" t="str">
        <f t="shared" si="13"/>
        <v/>
      </c>
      <c r="G108" s="186"/>
      <c r="H108" s="146" t="str">
        <f t="shared" si="14"/>
        <v/>
      </c>
      <c r="I108" s="185"/>
      <c r="J108" s="185"/>
      <c r="K108" s="185"/>
      <c r="M108" s="141" t="str">
        <f t="shared" si="15"/>
        <v/>
      </c>
      <c r="N108" s="141" t="str">
        <f t="shared" si="16"/>
        <v/>
      </c>
      <c r="R108" s="141">
        <v>4262</v>
      </c>
      <c r="S108" s="141" t="s">
        <v>115</v>
      </c>
      <c r="U108" s="141" t="str">
        <f t="shared" si="21"/>
        <v>42</v>
      </c>
      <c r="V108" s="141" t="str">
        <f t="shared" si="20"/>
        <v>426</v>
      </c>
      <c r="X108" t="s">
        <v>1312</v>
      </c>
      <c r="Y108" t="s">
        <v>1313</v>
      </c>
    </row>
    <row r="109" spans="1:25">
      <c r="A109" s="145" t="str">
        <f>IF(C109="","",VLOOKUP('Opći dio'!$C$3,'Opći dio'!$L$6:$U$136,10,FALSE))</f>
        <v/>
      </c>
      <c r="B109" s="145" t="str">
        <f>IF(C109="","",VLOOKUP('Opći dio'!$C$3,'Opći dio'!$L$6:$U$136,9,FALSE))</f>
        <v/>
      </c>
      <c r="C109" s="151"/>
      <c r="D109" s="146" t="str">
        <f t="shared" si="12"/>
        <v/>
      </c>
      <c r="E109" s="151"/>
      <c r="F109" s="146" t="str">
        <f t="shared" si="13"/>
        <v/>
      </c>
      <c r="G109" s="186"/>
      <c r="H109" s="146" t="str">
        <f t="shared" si="14"/>
        <v/>
      </c>
      <c r="I109" s="185"/>
      <c r="J109" s="185"/>
      <c r="K109" s="185"/>
      <c r="M109" s="141" t="str">
        <f t="shared" si="15"/>
        <v/>
      </c>
      <c r="N109" s="141" t="str">
        <f t="shared" si="16"/>
        <v/>
      </c>
      <c r="R109" s="141">
        <v>4263</v>
      </c>
      <c r="S109" s="141" t="s">
        <v>172</v>
      </c>
      <c r="U109" s="141" t="str">
        <f t="shared" si="21"/>
        <v>42</v>
      </c>
      <c r="V109" s="141" t="str">
        <f t="shared" si="20"/>
        <v>426</v>
      </c>
      <c r="X109" t="s">
        <v>2076</v>
      </c>
      <c r="Y109" t="s">
        <v>2077</v>
      </c>
    </row>
    <row r="110" spans="1:25">
      <c r="A110" s="145" t="str">
        <f>IF(C110="","",VLOOKUP('Opći dio'!$C$3,'Opći dio'!$L$6:$U$136,10,FALSE))</f>
        <v/>
      </c>
      <c r="B110" s="145" t="str">
        <f>IF(C110="","",VLOOKUP('Opći dio'!$C$3,'Opći dio'!$L$6:$U$136,9,FALSE))</f>
        <v/>
      </c>
      <c r="C110" s="151"/>
      <c r="D110" s="146" t="str">
        <f t="shared" si="12"/>
        <v/>
      </c>
      <c r="E110" s="151"/>
      <c r="F110" s="146" t="str">
        <f t="shared" si="13"/>
        <v/>
      </c>
      <c r="G110" s="186"/>
      <c r="H110" s="146" t="str">
        <f t="shared" si="14"/>
        <v/>
      </c>
      <c r="I110" s="185"/>
      <c r="J110" s="185"/>
      <c r="K110" s="185"/>
      <c r="M110" s="141" t="str">
        <f t="shared" si="15"/>
        <v/>
      </c>
      <c r="N110" s="141" t="str">
        <f t="shared" si="16"/>
        <v/>
      </c>
      <c r="R110" s="141">
        <v>4264</v>
      </c>
      <c r="S110" s="141" t="s">
        <v>127</v>
      </c>
      <c r="U110" s="141" t="str">
        <f t="shared" si="21"/>
        <v>42</v>
      </c>
      <c r="V110" s="141" t="str">
        <f t="shared" si="20"/>
        <v>426</v>
      </c>
      <c r="X110" t="s">
        <v>1314</v>
      </c>
      <c r="Y110" t="s">
        <v>1315</v>
      </c>
    </row>
    <row r="111" spans="1:25">
      <c r="A111" s="145" t="str">
        <f>IF(C111="","",VLOOKUP('Opći dio'!$C$3,'Opći dio'!$L$6:$U$136,10,FALSE))</f>
        <v/>
      </c>
      <c r="B111" s="145" t="str">
        <f>IF(C111="","",VLOOKUP('Opći dio'!$C$3,'Opći dio'!$L$6:$U$136,9,FALSE))</f>
        <v/>
      </c>
      <c r="C111" s="151"/>
      <c r="D111" s="146" t="str">
        <f t="shared" si="12"/>
        <v/>
      </c>
      <c r="E111" s="151"/>
      <c r="F111" s="146" t="str">
        <f t="shared" si="13"/>
        <v/>
      </c>
      <c r="G111" s="186"/>
      <c r="H111" s="146" t="str">
        <f t="shared" si="14"/>
        <v/>
      </c>
      <c r="I111" s="185"/>
      <c r="J111" s="185"/>
      <c r="K111" s="185"/>
      <c r="M111" s="141" t="str">
        <f t="shared" si="15"/>
        <v/>
      </c>
      <c r="N111" s="141" t="str">
        <f t="shared" si="16"/>
        <v/>
      </c>
      <c r="R111" s="141">
        <v>4312</v>
      </c>
      <c r="S111" s="141" t="s">
        <v>129</v>
      </c>
      <c r="U111" s="141" t="str">
        <f t="shared" si="21"/>
        <v>43</v>
      </c>
      <c r="V111" s="141" t="str">
        <f t="shared" si="20"/>
        <v>431</v>
      </c>
      <c r="X111" t="s">
        <v>2078</v>
      </c>
      <c r="Y111" t="s">
        <v>1282</v>
      </c>
    </row>
    <row r="112" spans="1:25">
      <c r="A112" s="145" t="str">
        <f>IF(C112="","",VLOOKUP('Opći dio'!$C$3,'Opći dio'!$L$6:$U$136,10,FALSE))</f>
        <v/>
      </c>
      <c r="B112" s="145" t="str">
        <f>IF(C112="","",VLOOKUP('Opći dio'!$C$3,'Opći dio'!$L$6:$U$136,9,FALSE))</f>
        <v/>
      </c>
      <c r="C112" s="151"/>
      <c r="D112" s="146" t="str">
        <f t="shared" si="12"/>
        <v/>
      </c>
      <c r="E112" s="151"/>
      <c r="F112" s="146" t="str">
        <f t="shared" si="13"/>
        <v/>
      </c>
      <c r="G112" s="186"/>
      <c r="H112" s="146" t="str">
        <f t="shared" si="14"/>
        <v/>
      </c>
      <c r="I112" s="185"/>
      <c r="J112" s="185"/>
      <c r="K112" s="185"/>
      <c r="M112" s="141" t="str">
        <f t="shared" si="15"/>
        <v/>
      </c>
      <c r="N112" s="141" t="str">
        <f t="shared" si="16"/>
        <v/>
      </c>
      <c r="R112" s="141">
        <v>4411</v>
      </c>
      <c r="S112" s="141" t="s">
        <v>173</v>
      </c>
      <c r="U112" s="141" t="str">
        <f t="shared" si="21"/>
        <v>44</v>
      </c>
      <c r="V112" s="141" t="str">
        <f t="shared" si="20"/>
        <v>441</v>
      </c>
      <c r="X112" t="s">
        <v>2079</v>
      </c>
      <c r="Y112" t="s">
        <v>813</v>
      </c>
    </row>
    <row r="113" spans="1:25">
      <c r="A113" s="145" t="str">
        <f>IF(C113="","",VLOOKUP('Opći dio'!$C$3,'Opći dio'!$L$6:$U$136,10,FALSE))</f>
        <v/>
      </c>
      <c r="B113" s="145" t="str">
        <f>IF(C113="","",VLOOKUP('Opći dio'!$C$3,'Opći dio'!$L$6:$U$136,9,FALSE))</f>
        <v/>
      </c>
      <c r="C113" s="151"/>
      <c r="D113" s="146" t="str">
        <f t="shared" si="12"/>
        <v/>
      </c>
      <c r="E113" s="151"/>
      <c r="F113" s="146" t="str">
        <f t="shared" si="13"/>
        <v/>
      </c>
      <c r="G113" s="186"/>
      <c r="H113" s="146" t="str">
        <f t="shared" si="14"/>
        <v/>
      </c>
      <c r="I113" s="185"/>
      <c r="J113" s="185"/>
      <c r="K113" s="185"/>
      <c r="M113" s="141" t="str">
        <f t="shared" si="15"/>
        <v/>
      </c>
      <c r="N113" s="141" t="str">
        <f t="shared" si="16"/>
        <v/>
      </c>
      <c r="R113" s="141">
        <v>4511</v>
      </c>
      <c r="S113" s="141" t="s">
        <v>128</v>
      </c>
      <c r="U113" s="141" t="str">
        <f t="shared" si="21"/>
        <v>45</v>
      </c>
      <c r="V113" s="141" t="str">
        <f t="shared" si="20"/>
        <v>451</v>
      </c>
      <c r="X113" t="s">
        <v>1318</v>
      </c>
      <c r="Y113" t="s">
        <v>1319</v>
      </c>
    </row>
    <row r="114" spans="1:25">
      <c r="A114" s="145" t="str">
        <f>IF(C114="","",VLOOKUP('Opći dio'!$C$3,'Opći dio'!$L$6:$U$136,10,FALSE))</f>
        <v/>
      </c>
      <c r="B114" s="145" t="str">
        <f>IF(C114="","",VLOOKUP('Opći dio'!$C$3,'Opći dio'!$L$6:$U$136,9,FALSE))</f>
        <v/>
      </c>
      <c r="C114" s="151"/>
      <c r="D114" s="146" t="str">
        <f t="shared" si="12"/>
        <v/>
      </c>
      <c r="E114" s="151"/>
      <c r="F114" s="146" t="str">
        <f t="shared" si="13"/>
        <v/>
      </c>
      <c r="G114" s="186"/>
      <c r="H114" s="146" t="str">
        <f t="shared" si="14"/>
        <v/>
      </c>
      <c r="I114" s="185"/>
      <c r="J114" s="185"/>
      <c r="K114" s="185"/>
      <c r="M114" s="141" t="str">
        <f t="shared" si="15"/>
        <v/>
      </c>
      <c r="N114" s="141" t="str">
        <f t="shared" si="16"/>
        <v/>
      </c>
      <c r="R114" s="141">
        <v>4521</v>
      </c>
      <c r="S114" s="141" t="s">
        <v>147</v>
      </c>
      <c r="U114" s="141" t="str">
        <f t="shared" si="21"/>
        <v>45</v>
      </c>
      <c r="V114" s="141" t="str">
        <f t="shared" si="20"/>
        <v>452</v>
      </c>
      <c r="X114" t="s">
        <v>1320</v>
      </c>
      <c r="Y114" t="s">
        <v>1321</v>
      </c>
    </row>
    <row r="115" spans="1:25">
      <c r="A115" s="145" t="str">
        <f>IF(C115="","",VLOOKUP('Opći dio'!$C$3,'Opći dio'!$L$6:$U$136,10,FALSE))</f>
        <v/>
      </c>
      <c r="B115" s="145" t="str">
        <f>IF(C115="","",VLOOKUP('Opći dio'!$C$3,'Opći dio'!$L$6:$U$136,9,FALSE))</f>
        <v/>
      </c>
      <c r="C115" s="151"/>
      <c r="D115" s="146" t="str">
        <f t="shared" si="12"/>
        <v/>
      </c>
      <c r="E115" s="151"/>
      <c r="F115" s="146" t="str">
        <f t="shared" si="13"/>
        <v/>
      </c>
      <c r="G115" s="186"/>
      <c r="H115" s="146" t="str">
        <f t="shared" si="14"/>
        <v/>
      </c>
      <c r="I115" s="185"/>
      <c r="J115" s="185"/>
      <c r="K115" s="185"/>
      <c r="M115" s="141" t="str">
        <f t="shared" si="15"/>
        <v/>
      </c>
      <c r="N115" s="141" t="str">
        <f t="shared" si="16"/>
        <v/>
      </c>
      <c r="R115" s="141">
        <v>4531</v>
      </c>
      <c r="S115" s="141" t="s">
        <v>190</v>
      </c>
      <c r="U115" s="141" t="str">
        <f t="shared" si="21"/>
        <v>45</v>
      </c>
      <c r="V115" s="141" t="str">
        <f t="shared" si="20"/>
        <v>453</v>
      </c>
      <c r="X115" t="s">
        <v>1322</v>
      </c>
      <c r="Y115" t="s">
        <v>1323</v>
      </c>
    </row>
    <row r="116" spans="1:25">
      <c r="A116" s="145" t="str">
        <f>IF(C116="","",VLOOKUP('Opći dio'!$C$3,'Opći dio'!$L$6:$U$136,10,FALSE))</f>
        <v/>
      </c>
      <c r="B116" s="145" t="str">
        <f>IF(C116="","",VLOOKUP('Opći dio'!$C$3,'Opći dio'!$L$6:$U$136,9,FALSE))</f>
        <v/>
      </c>
      <c r="C116" s="151"/>
      <c r="D116" s="146" t="str">
        <f t="shared" si="12"/>
        <v/>
      </c>
      <c r="E116" s="151"/>
      <c r="F116" s="146" t="str">
        <f t="shared" si="13"/>
        <v/>
      </c>
      <c r="G116" s="186"/>
      <c r="H116" s="146" t="str">
        <f t="shared" si="14"/>
        <v/>
      </c>
      <c r="I116" s="185"/>
      <c r="J116" s="185"/>
      <c r="K116" s="185"/>
      <c r="M116" s="141" t="str">
        <f t="shared" si="15"/>
        <v/>
      </c>
      <c r="N116" s="141" t="str">
        <f t="shared" si="16"/>
        <v/>
      </c>
      <c r="R116" s="141">
        <v>4541</v>
      </c>
      <c r="S116" s="141" t="s">
        <v>142</v>
      </c>
      <c r="U116" s="141" t="str">
        <f t="shared" si="21"/>
        <v>45</v>
      </c>
      <c r="V116" s="141" t="str">
        <f t="shared" si="20"/>
        <v>454</v>
      </c>
      <c r="X116" t="s">
        <v>1324</v>
      </c>
      <c r="Y116" t="s">
        <v>1325</v>
      </c>
    </row>
    <row r="117" spans="1:25">
      <c r="A117" s="145" t="str">
        <f>IF(C117="","",VLOOKUP('Opći dio'!$C$3,'Opći dio'!$L$6:$U$136,10,FALSE))</f>
        <v/>
      </c>
      <c r="B117" s="145" t="str">
        <f>IF(C117="","",VLOOKUP('Opći dio'!$C$3,'Opći dio'!$L$6:$U$136,9,FALSE))</f>
        <v/>
      </c>
      <c r="C117" s="151"/>
      <c r="D117" s="146" t="str">
        <f t="shared" si="12"/>
        <v/>
      </c>
      <c r="E117" s="151"/>
      <c r="F117" s="146" t="str">
        <f t="shared" si="13"/>
        <v/>
      </c>
      <c r="G117" s="186"/>
      <c r="H117" s="146" t="str">
        <f t="shared" si="14"/>
        <v/>
      </c>
      <c r="I117" s="185"/>
      <c r="J117" s="185"/>
      <c r="K117" s="185"/>
      <c r="M117" s="141" t="str">
        <f t="shared" si="15"/>
        <v/>
      </c>
      <c r="N117" s="141" t="str">
        <f t="shared" si="16"/>
        <v/>
      </c>
      <c r="R117" s="141">
        <v>5121</v>
      </c>
      <c r="S117" s="141" t="s">
        <v>198</v>
      </c>
      <c r="U117" s="141" t="str">
        <f t="shared" si="21"/>
        <v>51</v>
      </c>
      <c r="V117" s="141" t="str">
        <f t="shared" si="20"/>
        <v>512</v>
      </c>
      <c r="X117" t="s">
        <v>1326</v>
      </c>
      <c r="Y117" t="s">
        <v>1327</v>
      </c>
    </row>
    <row r="118" spans="1:25">
      <c r="A118" s="145" t="str">
        <f>IF(C118="","",VLOOKUP('Opći dio'!$C$3,'Opći dio'!$L$6:$U$136,10,FALSE))</f>
        <v/>
      </c>
      <c r="B118" s="145" t="str">
        <f>IF(C118="","",VLOOKUP('Opći dio'!$C$3,'Opći dio'!$L$6:$U$136,9,FALSE))</f>
        <v/>
      </c>
      <c r="C118" s="151"/>
      <c r="D118" s="146" t="str">
        <f t="shared" si="12"/>
        <v/>
      </c>
      <c r="E118" s="151"/>
      <c r="F118" s="146" t="str">
        <f t="shared" si="13"/>
        <v/>
      </c>
      <c r="G118" s="186"/>
      <c r="H118" s="146" t="str">
        <f t="shared" si="14"/>
        <v/>
      </c>
      <c r="I118" s="185"/>
      <c r="J118" s="185"/>
      <c r="K118" s="185"/>
      <c r="M118" s="141" t="str">
        <f t="shared" si="15"/>
        <v/>
      </c>
      <c r="N118" s="141" t="str">
        <f t="shared" si="16"/>
        <v/>
      </c>
      <c r="R118" s="141">
        <v>5443</v>
      </c>
      <c r="S118" s="141" t="s">
        <v>174</v>
      </c>
      <c r="U118" s="141" t="str">
        <f t="shared" si="21"/>
        <v>54</v>
      </c>
      <c r="V118" s="141" t="str">
        <f t="shared" si="20"/>
        <v>544</v>
      </c>
      <c r="X118" t="s">
        <v>1328</v>
      </c>
      <c r="Y118" t="s">
        <v>1329</v>
      </c>
    </row>
    <row r="119" spans="1:25">
      <c r="A119" s="145" t="str">
        <f>IF(C119="","",VLOOKUP('Opći dio'!$C$3,'Opći dio'!$L$6:$U$136,10,FALSE))</f>
        <v/>
      </c>
      <c r="B119" s="145" t="str">
        <f>IF(C119="","",VLOOKUP('Opći dio'!$C$3,'Opći dio'!$L$6:$U$136,9,FALSE))</f>
        <v/>
      </c>
      <c r="C119" s="151"/>
      <c r="D119" s="146" t="str">
        <f t="shared" si="12"/>
        <v/>
      </c>
      <c r="E119" s="151"/>
      <c r="F119" s="146" t="str">
        <f t="shared" si="13"/>
        <v/>
      </c>
      <c r="G119" s="186"/>
      <c r="H119" s="146" t="str">
        <f t="shared" si="14"/>
        <v/>
      </c>
      <c r="I119" s="185"/>
      <c r="J119" s="185"/>
      <c r="K119" s="185"/>
      <c r="M119" s="141" t="str">
        <f t="shared" si="15"/>
        <v/>
      </c>
      <c r="N119" s="141" t="str">
        <f t="shared" si="16"/>
        <v/>
      </c>
      <c r="R119" s="141">
        <v>5121</v>
      </c>
      <c r="S119" s="141" t="s">
        <v>766</v>
      </c>
      <c r="U119" s="141" t="str">
        <f t="shared" si="21"/>
        <v>51</v>
      </c>
      <c r="V119" s="141" t="str">
        <f t="shared" ref="V119:V129" si="22">LEFT(R119,3)</f>
        <v>512</v>
      </c>
      <c r="X119" t="s">
        <v>1330</v>
      </c>
      <c r="Y119" t="s">
        <v>1331</v>
      </c>
    </row>
    <row r="120" spans="1:25">
      <c r="A120" s="145" t="str">
        <f>IF(C120="","",VLOOKUP('Opći dio'!$C$3,'Opći dio'!$L$6:$U$136,10,FALSE))</f>
        <v/>
      </c>
      <c r="B120" s="145" t="str">
        <f>IF(C120="","",VLOOKUP('Opći dio'!$C$3,'Opći dio'!$L$6:$U$136,9,FALSE))</f>
        <v/>
      </c>
      <c r="C120" s="151"/>
      <c r="D120" s="146" t="str">
        <f t="shared" si="12"/>
        <v/>
      </c>
      <c r="E120" s="151"/>
      <c r="F120" s="146" t="str">
        <f t="shared" si="13"/>
        <v/>
      </c>
      <c r="G120" s="186"/>
      <c r="H120" s="146" t="str">
        <f t="shared" si="14"/>
        <v/>
      </c>
      <c r="I120" s="185"/>
      <c r="J120" s="185"/>
      <c r="K120" s="185"/>
      <c r="M120" s="141" t="str">
        <f t="shared" si="15"/>
        <v/>
      </c>
      <c r="N120" s="141" t="str">
        <f t="shared" si="16"/>
        <v/>
      </c>
      <c r="R120" s="141">
        <v>5122</v>
      </c>
      <c r="S120" s="141" t="s">
        <v>767</v>
      </c>
      <c r="U120" s="141" t="str">
        <f t="shared" si="21"/>
        <v>51</v>
      </c>
      <c r="V120" s="141" t="str">
        <f t="shared" si="22"/>
        <v>512</v>
      </c>
      <c r="X120" t="s">
        <v>1332</v>
      </c>
      <c r="Y120" t="s">
        <v>1333</v>
      </c>
    </row>
    <row r="121" spans="1:25">
      <c r="A121" s="145" t="str">
        <f>IF(C121="","",VLOOKUP('Opći dio'!$C$3,'Opći dio'!$L$6:$U$136,10,FALSE))</f>
        <v/>
      </c>
      <c r="B121" s="145" t="str">
        <f>IF(C121="","",VLOOKUP('Opći dio'!$C$3,'Opći dio'!$L$6:$U$136,9,FALSE))</f>
        <v/>
      </c>
      <c r="C121" s="151"/>
      <c r="D121" s="146" t="str">
        <f t="shared" si="12"/>
        <v/>
      </c>
      <c r="E121" s="151"/>
      <c r="F121" s="146" t="str">
        <f t="shared" si="13"/>
        <v/>
      </c>
      <c r="G121" s="186"/>
      <c r="H121" s="146" t="str">
        <f t="shared" si="14"/>
        <v/>
      </c>
      <c r="I121" s="185"/>
      <c r="J121" s="185"/>
      <c r="K121" s="185"/>
      <c r="M121" s="141" t="str">
        <f t="shared" si="15"/>
        <v/>
      </c>
      <c r="N121" s="141" t="str">
        <f t="shared" si="16"/>
        <v/>
      </c>
      <c r="R121" s="141">
        <v>5141</v>
      </c>
      <c r="S121" s="141" t="s">
        <v>768</v>
      </c>
      <c r="U121" s="141" t="str">
        <f t="shared" si="21"/>
        <v>51</v>
      </c>
      <c r="V121" s="141" t="str">
        <f t="shared" si="22"/>
        <v>514</v>
      </c>
      <c r="X121" t="s">
        <v>1334</v>
      </c>
      <c r="Y121" t="s">
        <v>1335</v>
      </c>
    </row>
    <row r="122" spans="1:25">
      <c r="A122" s="145" t="str">
        <f>IF(C122="","",VLOOKUP('Opći dio'!$C$3,'Opći dio'!$L$6:$U$136,10,FALSE))</f>
        <v/>
      </c>
      <c r="B122" s="145" t="str">
        <f>IF(C122="","",VLOOKUP('Opći dio'!$C$3,'Opći dio'!$L$6:$U$136,9,FALSE))</f>
        <v/>
      </c>
      <c r="C122" s="151"/>
      <c r="D122" s="146" t="str">
        <f t="shared" si="12"/>
        <v/>
      </c>
      <c r="E122" s="151"/>
      <c r="F122" s="146" t="str">
        <f t="shared" si="13"/>
        <v/>
      </c>
      <c r="G122" s="186"/>
      <c r="H122" s="146" t="str">
        <f t="shared" si="14"/>
        <v/>
      </c>
      <c r="I122" s="185"/>
      <c r="J122" s="185"/>
      <c r="K122" s="185"/>
      <c r="M122" s="141" t="str">
        <f t="shared" si="15"/>
        <v/>
      </c>
      <c r="N122" s="141" t="str">
        <f t="shared" si="16"/>
        <v/>
      </c>
      <c r="R122" s="141">
        <v>5181</v>
      </c>
      <c r="S122" s="141" t="s">
        <v>769</v>
      </c>
      <c r="U122" s="141" t="str">
        <f t="shared" si="21"/>
        <v>51</v>
      </c>
      <c r="V122" s="141" t="str">
        <f t="shared" si="22"/>
        <v>518</v>
      </c>
      <c r="X122" t="s">
        <v>1336</v>
      </c>
      <c r="Y122" t="s">
        <v>1337</v>
      </c>
    </row>
    <row r="123" spans="1:25">
      <c r="A123" s="145" t="str">
        <f>IF(C123="","",VLOOKUP('Opći dio'!$C$3,'Opći dio'!$L$6:$U$136,10,FALSE))</f>
        <v/>
      </c>
      <c r="B123" s="145" t="str">
        <f>IF(C123="","",VLOOKUP('Opći dio'!$C$3,'Opći dio'!$L$6:$U$136,9,FALSE))</f>
        <v/>
      </c>
      <c r="C123" s="151"/>
      <c r="D123" s="146" t="str">
        <f t="shared" si="12"/>
        <v/>
      </c>
      <c r="E123" s="151"/>
      <c r="F123" s="146" t="str">
        <f t="shared" si="13"/>
        <v/>
      </c>
      <c r="G123" s="186"/>
      <c r="H123" s="146" t="str">
        <f t="shared" si="14"/>
        <v/>
      </c>
      <c r="I123" s="185"/>
      <c r="J123" s="185"/>
      <c r="K123" s="185"/>
      <c r="M123" s="141" t="str">
        <f t="shared" si="15"/>
        <v/>
      </c>
      <c r="N123" s="141" t="str">
        <f t="shared" si="16"/>
        <v/>
      </c>
      <c r="R123" s="141">
        <v>5183</v>
      </c>
      <c r="S123" s="141" t="s">
        <v>770</v>
      </c>
      <c r="U123" s="141" t="str">
        <f t="shared" si="21"/>
        <v>51</v>
      </c>
      <c r="V123" s="141" t="str">
        <f t="shared" si="22"/>
        <v>518</v>
      </c>
      <c r="X123" t="s">
        <v>1338</v>
      </c>
      <c r="Y123" t="s">
        <v>1339</v>
      </c>
    </row>
    <row r="124" spans="1:25">
      <c r="A124" s="145" t="str">
        <f>IF(C124="","",VLOOKUP('Opći dio'!$C$3,'Opći dio'!$L$6:$U$136,10,FALSE))</f>
        <v/>
      </c>
      <c r="B124" s="145" t="str">
        <f>IF(C124="","",VLOOKUP('Opći dio'!$C$3,'Opći dio'!$L$6:$U$136,9,FALSE))</f>
        <v/>
      </c>
      <c r="C124" s="151"/>
      <c r="D124" s="146" t="str">
        <f t="shared" si="12"/>
        <v/>
      </c>
      <c r="E124" s="151"/>
      <c r="F124" s="146" t="str">
        <f t="shared" si="13"/>
        <v/>
      </c>
      <c r="G124" s="186"/>
      <c r="H124" s="146" t="str">
        <f t="shared" si="14"/>
        <v/>
      </c>
      <c r="I124" s="185"/>
      <c r="J124" s="185"/>
      <c r="K124" s="185"/>
      <c r="M124" s="141" t="str">
        <f t="shared" si="15"/>
        <v/>
      </c>
      <c r="N124" s="141" t="str">
        <f t="shared" si="16"/>
        <v/>
      </c>
      <c r="R124" s="141">
        <v>5422</v>
      </c>
      <c r="S124" s="141" t="s">
        <v>771</v>
      </c>
      <c r="U124" s="141" t="str">
        <f t="shared" si="21"/>
        <v>54</v>
      </c>
      <c r="V124" s="141" t="str">
        <f t="shared" si="22"/>
        <v>542</v>
      </c>
      <c r="X124" t="s">
        <v>1340</v>
      </c>
      <c r="Y124" t="s">
        <v>1341</v>
      </c>
    </row>
    <row r="125" spans="1:25">
      <c r="A125" s="145" t="str">
        <f>IF(C125="","",VLOOKUP('Opći dio'!$C$3,'Opći dio'!$L$6:$U$136,10,FALSE))</f>
        <v/>
      </c>
      <c r="B125" s="145" t="str">
        <f>IF(C125="","",VLOOKUP('Opći dio'!$C$3,'Opći dio'!$L$6:$U$136,9,FALSE))</f>
        <v/>
      </c>
      <c r="C125" s="151"/>
      <c r="D125" s="146" t="str">
        <f t="shared" si="12"/>
        <v/>
      </c>
      <c r="E125" s="151"/>
      <c r="F125" s="146" t="str">
        <f t="shared" si="13"/>
        <v/>
      </c>
      <c r="G125" s="186"/>
      <c r="H125" s="146" t="str">
        <f t="shared" si="14"/>
        <v/>
      </c>
      <c r="I125" s="185"/>
      <c r="J125" s="185"/>
      <c r="K125" s="185"/>
      <c r="M125" s="141" t="str">
        <f t="shared" si="15"/>
        <v/>
      </c>
      <c r="N125" s="141" t="str">
        <f t="shared" si="16"/>
        <v/>
      </c>
      <c r="R125" s="141">
        <v>5431</v>
      </c>
      <c r="S125" s="141" t="s">
        <v>366</v>
      </c>
      <c r="U125" s="141" t="str">
        <f t="shared" si="21"/>
        <v>54</v>
      </c>
      <c r="V125" s="141" t="str">
        <f t="shared" si="22"/>
        <v>543</v>
      </c>
      <c r="X125" t="s">
        <v>1342</v>
      </c>
      <c r="Y125" t="s">
        <v>1343</v>
      </c>
    </row>
    <row r="126" spans="1:25">
      <c r="A126" s="145" t="str">
        <f>IF(C126="","",VLOOKUP('Opći dio'!$C$3,'Opći dio'!$L$6:$U$136,10,FALSE))</f>
        <v/>
      </c>
      <c r="B126" s="145" t="str">
        <f>IF(C126="","",VLOOKUP('Opći dio'!$C$3,'Opći dio'!$L$6:$U$136,9,FALSE))</f>
        <v/>
      </c>
      <c r="C126" s="151"/>
      <c r="D126" s="146" t="str">
        <f t="shared" si="12"/>
        <v/>
      </c>
      <c r="E126" s="151"/>
      <c r="F126" s="146" t="str">
        <f t="shared" si="13"/>
        <v/>
      </c>
      <c r="G126" s="186"/>
      <c r="H126" s="146" t="str">
        <f t="shared" si="14"/>
        <v/>
      </c>
      <c r="I126" s="185"/>
      <c r="J126" s="185"/>
      <c r="K126" s="185"/>
      <c r="M126" s="141" t="str">
        <f t="shared" si="15"/>
        <v/>
      </c>
      <c r="N126" s="141" t="str">
        <f t="shared" si="16"/>
        <v/>
      </c>
      <c r="R126" s="141">
        <v>5443</v>
      </c>
      <c r="S126" s="141" t="s">
        <v>772</v>
      </c>
      <c r="U126" s="141" t="str">
        <f t="shared" si="21"/>
        <v>54</v>
      </c>
      <c r="V126" s="141" t="str">
        <f t="shared" si="22"/>
        <v>544</v>
      </c>
      <c r="X126" t="s">
        <v>1344</v>
      </c>
      <c r="Y126" t="s">
        <v>1345</v>
      </c>
    </row>
    <row r="127" spans="1:25">
      <c r="A127" s="145" t="str">
        <f>IF(C127="","",VLOOKUP('Opći dio'!$C$3,'Opći dio'!$L$6:$U$136,10,FALSE))</f>
        <v/>
      </c>
      <c r="B127" s="145" t="str">
        <f>IF(C127="","",VLOOKUP('Opći dio'!$C$3,'Opći dio'!$L$6:$U$136,9,FALSE))</f>
        <v/>
      </c>
      <c r="C127" s="151"/>
      <c r="D127" s="146" t="str">
        <f t="shared" si="12"/>
        <v/>
      </c>
      <c r="E127" s="151"/>
      <c r="F127" s="146" t="str">
        <f t="shared" si="13"/>
        <v/>
      </c>
      <c r="G127" s="186"/>
      <c r="H127" s="146" t="str">
        <f t="shared" si="14"/>
        <v/>
      </c>
      <c r="I127" s="185"/>
      <c r="J127" s="185"/>
      <c r="K127" s="185"/>
      <c r="M127" s="141" t="str">
        <f t="shared" si="15"/>
        <v/>
      </c>
      <c r="N127" s="141" t="str">
        <f t="shared" si="16"/>
        <v/>
      </c>
      <c r="R127" s="141">
        <v>5445</v>
      </c>
      <c r="S127" s="141" t="s">
        <v>773</v>
      </c>
      <c r="U127" s="141" t="str">
        <f t="shared" si="21"/>
        <v>54</v>
      </c>
      <c r="V127" s="141" t="str">
        <f t="shared" si="22"/>
        <v>544</v>
      </c>
      <c r="X127" t="s">
        <v>1346</v>
      </c>
      <c r="Y127" t="s">
        <v>1347</v>
      </c>
    </row>
    <row r="128" spans="1:25">
      <c r="A128" s="145" t="str">
        <f>IF(C128="","",VLOOKUP('Opći dio'!$C$3,'Opći dio'!$L$6:$U$136,10,FALSE))</f>
        <v/>
      </c>
      <c r="B128" s="145" t="str">
        <f>IF(C128="","",VLOOKUP('Opći dio'!$C$3,'Opći dio'!$L$6:$U$136,9,FALSE))</f>
        <v/>
      </c>
      <c r="C128" s="151"/>
      <c r="D128" s="146" t="str">
        <f t="shared" si="12"/>
        <v/>
      </c>
      <c r="E128" s="151"/>
      <c r="F128" s="146" t="str">
        <f t="shared" si="13"/>
        <v/>
      </c>
      <c r="G128" s="186"/>
      <c r="H128" s="146" t="str">
        <f t="shared" si="14"/>
        <v/>
      </c>
      <c r="I128" s="185"/>
      <c r="J128" s="185"/>
      <c r="K128" s="185"/>
      <c r="M128" s="141" t="str">
        <f t="shared" si="15"/>
        <v/>
      </c>
      <c r="N128" s="141" t="str">
        <f t="shared" si="16"/>
        <v/>
      </c>
      <c r="R128" s="141">
        <v>5453</v>
      </c>
      <c r="S128" s="141" t="s">
        <v>774</v>
      </c>
      <c r="U128" s="141" t="str">
        <f t="shared" si="21"/>
        <v>54</v>
      </c>
      <c r="V128" s="141" t="str">
        <f t="shared" si="22"/>
        <v>545</v>
      </c>
      <c r="X128" t="s">
        <v>2080</v>
      </c>
      <c r="Y128" t="s">
        <v>2081</v>
      </c>
    </row>
    <row r="129" spans="1:25">
      <c r="A129" s="145" t="str">
        <f>IF(C129="","",VLOOKUP('Opći dio'!$C$3,'Opći dio'!$L$6:$U$136,10,FALSE))</f>
        <v/>
      </c>
      <c r="B129" s="145" t="str">
        <f>IF(C129="","",VLOOKUP('Opći dio'!$C$3,'Opći dio'!$L$6:$U$136,9,FALSE))</f>
        <v/>
      </c>
      <c r="C129" s="151"/>
      <c r="D129" s="146" t="str">
        <f t="shared" si="12"/>
        <v/>
      </c>
      <c r="E129" s="151"/>
      <c r="F129" s="146" t="str">
        <f t="shared" si="13"/>
        <v/>
      </c>
      <c r="G129" s="186"/>
      <c r="H129" s="146" t="str">
        <f t="shared" si="14"/>
        <v/>
      </c>
      <c r="I129" s="185"/>
      <c r="J129" s="185"/>
      <c r="K129" s="185"/>
      <c r="M129" s="141" t="str">
        <f t="shared" si="15"/>
        <v/>
      </c>
      <c r="N129" s="141" t="str">
        <f t="shared" si="16"/>
        <v/>
      </c>
      <c r="R129" s="141">
        <v>5472</v>
      </c>
      <c r="S129" s="141" t="s">
        <v>775</v>
      </c>
      <c r="U129" s="141" t="str">
        <f t="shared" si="21"/>
        <v>54</v>
      </c>
      <c r="V129" s="141" t="str">
        <f t="shared" si="22"/>
        <v>547</v>
      </c>
      <c r="X129" t="s">
        <v>1348</v>
      </c>
      <c r="Y129" t="s">
        <v>1349</v>
      </c>
    </row>
    <row r="130" spans="1:25">
      <c r="A130" s="145" t="str">
        <f>IF(C130="","",VLOOKUP('Opći dio'!$C$3,'Opći dio'!$L$6:$U$136,10,FALSE))</f>
        <v/>
      </c>
      <c r="B130" s="145" t="str">
        <f>IF(C130="","",VLOOKUP('Opći dio'!$C$3,'Opći dio'!$L$6:$U$136,9,FALSE))</f>
        <v/>
      </c>
      <c r="C130" s="151"/>
      <c r="D130" s="146" t="str">
        <f t="shared" si="12"/>
        <v/>
      </c>
      <c r="E130" s="151"/>
      <c r="F130" s="146" t="str">
        <f t="shared" si="13"/>
        <v/>
      </c>
      <c r="G130" s="186"/>
      <c r="H130" s="146" t="str">
        <f t="shared" si="14"/>
        <v/>
      </c>
      <c r="I130" s="185"/>
      <c r="J130" s="185"/>
      <c r="K130" s="185"/>
      <c r="M130" s="141" t="str">
        <f t="shared" si="15"/>
        <v/>
      </c>
      <c r="N130" s="141" t="str">
        <f t="shared" si="16"/>
        <v/>
      </c>
      <c r="X130" t="s">
        <v>1350</v>
      </c>
      <c r="Y130" t="s">
        <v>1351</v>
      </c>
    </row>
    <row r="131" spans="1:25">
      <c r="A131" s="145" t="str">
        <f>IF(C131="","",VLOOKUP('Opći dio'!$C$3,'Opći dio'!$L$6:$U$136,10,FALSE))</f>
        <v/>
      </c>
      <c r="B131" s="145" t="str">
        <f>IF(C131="","",VLOOKUP('Opći dio'!$C$3,'Opći dio'!$L$6:$U$136,9,FALSE))</f>
        <v/>
      </c>
      <c r="C131" s="151"/>
      <c r="D131" s="146" t="str">
        <f t="shared" si="12"/>
        <v/>
      </c>
      <c r="E131" s="151"/>
      <c r="F131" s="146" t="str">
        <f t="shared" si="13"/>
        <v/>
      </c>
      <c r="G131" s="186"/>
      <c r="H131" s="146" t="str">
        <f t="shared" si="14"/>
        <v/>
      </c>
      <c r="I131" s="185"/>
      <c r="J131" s="185"/>
      <c r="K131" s="185"/>
      <c r="M131" s="141" t="str">
        <f t="shared" si="15"/>
        <v/>
      </c>
      <c r="N131" s="141" t="str">
        <f t="shared" si="16"/>
        <v/>
      </c>
      <c r="X131" t="s">
        <v>1352</v>
      </c>
      <c r="Y131" t="s">
        <v>813</v>
      </c>
    </row>
    <row r="132" spans="1:25">
      <c r="A132" s="145" t="str">
        <f>IF(C132="","",VLOOKUP('Opći dio'!$C$3,'Opći dio'!$L$6:$U$136,10,FALSE))</f>
        <v/>
      </c>
      <c r="B132" s="145" t="str">
        <f>IF(C132="","",VLOOKUP('Opći dio'!$C$3,'Opći dio'!$L$6:$U$136,9,FALSE))</f>
        <v/>
      </c>
      <c r="C132" s="151"/>
      <c r="D132" s="146" t="str">
        <f t="shared" ref="D132:D195" si="23">IFERROR(VLOOKUP(C132,$O$6:$P$23,2,FALSE),"")</f>
        <v/>
      </c>
      <c r="E132" s="151"/>
      <c r="F132" s="146" t="str">
        <f t="shared" ref="F132:F195" si="24">IFERROR(VLOOKUP(E132,$R$5:$T$129,2,FALSE),"")</f>
        <v/>
      </c>
      <c r="G132" s="186"/>
      <c r="H132" s="146" t="str">
        <f t="shared" ref="H132:H195" si="25">IFERROR(VLOOKUP(G132,$X$6:$Y$200,2,FALSE),"")</f>
        <v/>
      </c>
      <c r="I132" s="185"/>
      <c r="J132" s="185"/>
      <c r="K132" s="185"/>
      <c r="M132" s="141" t="str">
        <f t="shared" ref="M132:M195" si="26">LEFT(E132,3)</f>
        <v/>
      </c>
      <c r="N132" s="141" t="str">
        <f t="shared" ref="N132:N195" si="27">LEFT(E132,2)</f>
        <v/>
      </c>
      <c r="X132" t="s">
        <v>1353</v>
      </c>
      <c r="Y132" t="s">
        <v>1354</v>
      </c>
    </row>
    <row r="133" spans="1:25">
      <c r="A133" s="145" t="str">
        <f>IF(C133="","",VLOOKUP('Opći dio'!$C$3,'Opći dio'!$L$6:$U$136,10,FALSE))</f>
        <v/>
      </c>
      <c r="B133" s="145" t="str">
        <f>IF(C133="","",VLOOKUP('Opći dio'!$C$3,'Opći dio'!$L$6:$U$136,9,FALSE))</f>
        <v/>
      </c>
      <c r="C133" s="151"/>
      <c r="D133" s="146" t="str">
        <f t="shared" si="23"/>
        <v/>
      </c>
      <c r="E133" s="151"/>
      <c r="F133" s="146" t="str">
        <f t="shared" si="24"/>
        <v/>
      </c>
      <c r="G133" s="186"/>
      <c r="H133" s="146" t="str">
        <f t="shared" si="25"/>
        <v/>
      </c>
      <c r="I133" s="185"/>
      <c r="J133" s="185"/>
      <c r="K133" s="185"/>
      <c r="M133" s="141" t="str">
        <f t="shared" si="26"/>
        <v/>
      </c>
      <c r="N133" s="141" t="str">
        <f t="shared" si="27"/>
        <v/>
      </c>
      <c r="X133" t="s">
        <v>1355</v>
      </c>
      <c r="Y133" t="s">
        <v>1356</v>
      </c>
    </row>
    <row r="134" spans="1:25">
      <c r="A134" s="145" t="str">
        <f>IF(C134="","",VLOOKUP('Opći dio'!$C$3,'Opći dio'!$L$6:$U$136,10,FALSE))</f>
        <v/>
      </c>
      <c r="B134" s="145" t="str">
        <f>IF(C134="","",VLOOKUP('Opći dio'!$C$3,'Opći dio'!$L$6:$U$136,9,FALSE))</f>
        <v/>
      </c>
      <c r="C134" s="151"/>
      <c r="D134" s="146" t="str">
        <f t="shared" si="23"/>
        <v/>
      </c>
      <c r="E134" s="151"/>
      <c r="F134" s="146" t="str">
        <f t="shared" si="24"/>
        <v/>
      </c>
      <c r="G134" s="186"/>
      <c r="H134" s="146" t="str">
        <f t="shared" si="25"/>
        <v/>
      </c>
      <c r="I134" s="185"/>
      <c r="J134" s="185"/>
      <c r="K134" s="185"/>
      <c r="M134" s="141" t="str">
        <f t="shared" si="26"/>
        <v/>
      </c>
      <c r="N134" s="141" t="str">
        <f t="shared" si="27"/>
        <v/>
      </c>
      <c r="X134" t="s">
        <v>1359</v>
      </c>
      <c r="Y134" t="s">
        <v>1360</v>
      </c>
    </row>
    <row r="135" spans="1:25">
      <c r="A135" s="145" t="str">
        <f>IF(C135="","",VLOOKUP('Opći dio'!$C$3,'Opći dio'!$L$6:$U$136,10,FALSE))</f>
        <v/>
      </c>
      <c r="B135" s="145" t="str">
        <f>IF(C135="","",VLOOKUP('Opći dio'!$C$3,'Opći dio'!$L$6:$U$136,9,FALSE))</f>
        <v/>
      </c>
      <c r="C135" s="151"/>
      <c r="D135" s="146" t="str">
        <f t="shared" si="23"/>
        <v/>
      </c>
      <c r="E135" s="151"/>
      <c r="F135" s="146" t="str">
        <f t="shared" si="24"/>
        <v/>
      </c>
      <c r="G135" s="186"/>
      <c r="H135" s="146" t="str">
        <f t="shared" si="25"/>
        <v/>
      </c>
      <c r="I135" s="185"/>
      <c r="J135" s="185"/>
      <c r="K135" s="185"/>
      <c r="M135" s="141" t="str">
        <f t="shared" si="26"/>
        <v/>
      </c>
      <c r="N135" s="141" t="str">
        <f t="shared" si="27"/>
        <v/>
      </c>
      <c r="X135" t="s">
        <v>1361</v>
      </c>
      <c r="Y135" t="s">
        <v>2082</v>
      </c>
    </row>
    <row r="136" spans="1:25">
      <c r="A136" s="145" t="str">
        <f>IF(C136="","",VLOOKUP('Opći dio'!$C$3,'Opći dio'!$L$6:$U$136,10,FALSE))</f>
        <v/>
      </c>
      <c r="B136" s="145" t="str">
        <f>IF(C136="","",VLOOKUP('Opći dio'!$C$3,'Opći dio'!$L$6:$U$136,9,FALSE))</f>
        <v/>
      </c>
      <c r="C136" s="151"/>
      <c r="D136" s="146" t="str">
        <f t="shared" si="23"/>
        <v/>
      </c>
      <c r="E136" s="151"/>
      <c r="F136" s="146" t="str">
        <f t="shared" si="24"/>
        <v/>
      </c>
      <c r="G136" s="186"/>
      <c r="H136" s="146" t="str">
        <f t="shared" si="25"/>
        <v/>
      </c>
      <c r="I136" s="185"/>
      <c r="J136" s="185"/>
      <c r="K136" s="185"/>
      <c r="M136" s="141" t="str">
        <f t="shared" si="26"/>
        <v/>
      </c>
      <c r="N136" s="141" t="str">
        <f t="shared" si="27"/>
        <v/>
      </c>
      <c r="X136" t="s">
        <v>1362</v>
      </c>
      <c r="Y136" t="s">
        <v>1363</v>
      </c>
    </row>
    <row r="137" spans="1:25">
      <c r="A137" s="145" t="str">
        <f>IF(C137="","",VLOOKUP('Opći dio'!$C$3,'Opći dio'!$L$6:$U$136,10,FALSE))</f>
        <v/>
      </c>
      <c r="B137" s="145" t="str">
        <f>IF(C137="","",VLOOKUP('Opći dio'!$C$3,'Opći dio'!$L$6:$U$136,9,FALSE))</f>
        <v/>
      </c>
      <c r="C137" s="151"/>
      <c r="D137" s="146" t="str">
        <f t="shared" si="23"/>
        <v/>
      </c>
      <c r="E137" s="151"/>
      <c r="F137" s="146" t="str">
        <f t="shared" si="24"/>
        <v/>
      </c>
      <c r="G137" s="186"/>
      <c r="H137" s="146" t="str">
        <f t="shared" si="25"/>
        <v/>
      </c>
      <c r="I137" s="185"/>
      <c r="J137" s="185"/>
      <c r="K137" s="185"/>
      <c r="M137" s="141" t="str">
        <f t="shared" si="26"/>
        <v/>
      </c>
      <c r="N137" s="141" t="str">
        <f t="shared" si="27"/>
        <v/>
      </c>
      <c r="X137" t="s">
        <v>1364</v>
      </c>
      <c r="Y137" t="s">
        <v>1365</v>
      </c>
    </row>
    <row r="138" spans="1:25">
      <c r="A138" s="145" t="str">
        <f>IF(C138="","",VLOOKUP('Opći dio'!$C$3,'Opći dio'!$L$6:$U$136,10,FALSE))</f>
        <v/>
      </c>
      <c r="B138" s="145" t="str">
        <f>IF(C138="","",VLOOKUP('Opći dio'!$C$3,'Opći dio'!$L$6:$U$136,9,FALSE))</f>
        <v/>
      </c>
      <c r="C138" s="151"/>
      <c r="D138" s="146" t="str">
        <f t="shared" si="23"/>
        <v/>
      </c>
      <c r="E138" s="151"/>
      <c r="F138" s="146" t="str">
        <f t="shared" si="24"/>
        <v/>
      </c>
      <c r="G138" s="186"/>
      <c r="H138" s="146" t="str">
        <f t="shared" si="25"/>
        <v/>
      </c>
      <c r="I138" s="185"/>
      <c r="J138" s="185"/>
      <c r="K138" s="185"/>
      <c r="M138" s="141" t="str">
        <f t="shared" si="26"/>
        <v/>
      </c>
      <c r="N138" s="141" t="str">
        <f t="shared" si="27"/>
        <v/>
      </c>
      <c r="X138" t="s">
        <v>1366</v>
      </c>
      <c r="Y138" t="s">
        <v>1367</v>
      </c>
    </row>
    <row r="139" spans="1:25">
      <c r="A139" s="145" t="str">
        <f>IF(C139="","",VLOOKUP('Opći dio'!$C$3,'Opći dio'!$L$6:$U$136,10,FALSE))</f>
        <v/>
      </c>
      <c r="B139" s="145" t="str">
        <f>IF(C139="","",VLOOKUP('Opći dio'!$C$3,'Opći dio'!$L$6:$U$136,9,FALSE))</f>
        <v/>
      </c>
      <c r="C139" s="151"/>
      <c r="D139" s="146" t="str">
        <f t="shared" si="23"/>
        <v/>
      </c>
      <c r="E139" s="151"/>
      <c r="F139" s="146" t="str">
        <f t="shared" si="24"/>
        <v/>
      </c>
      <c r="G139" s="186"/>
      <c r="H139" s="146" t="str">
        <f t="shared" si="25"/>
        <v/>
      </c>
      <c r="I139" s="185"/>
      <c r="J139" s="185"/>
      <c r="K139" s="185"/>
      <c r="M139" s="141" t="str">
        <f t="shared" si="26"/>
        <v/>
      </c>
      <c r="N139" s="141" t="str">
        <f t="shared" si="27"/>
        <v/>
      </c>
      <c r="X139" t="s">
        <v>1368</v>
      </c>
      <c r="Y139" t="s">
        <v>1369</v>
      </c>
    </row>
    <row r="140" spans="1:25">
      <c r="A140" s="145" t="str">
        <f>IF(C140="","",VLOOKUP('Opći dio'!$C$3,'Opći dio'!$L$6:$U$136,10,FALSE))</f>
        <v/>
      </c>
      <c r="B140" s="145" t="str">
        <f>IF(C140="","",VLOOKUP('Opći dio'!$C$3,'Opći dio'!$L$6:$U$136,9,FALSE))</f>
        <v/>
      </c>
      <c r="C140" s="151"/>
      <c r="D140" s="146" t="str">
        <f t="shared" si="23"/>
        <v/>
      </c>
      <c r="E140" s="151"/>
      <c r="F140" s="146" t="str">
        <f t="shared" si="24"/>
        <v/>
      </c>
      <c r="G140" s="186"/>
      <c r="H140" s="146" t="str">
        <f t="shared" si="25"/>
        <v/>
      </c>
      <c r="I140" s="185"/>
      <c r="J140" s="185"/>
      <c r="K140" s="185"/>
      <c r="M140" s="141" t="str">
        <f t="shared" si="26"/>
        <v/>
      </c>
      <c r="N140" s="141" t="str">
        <f t="shared" si="27"/>
        <v/>
      </c>
      <c r="X140" t="s">
        <v>1370</v>
      </c>
      <c r="Y140" t="s">
        <v>1371</v>
      </c>
    </row>
    <row r="141" spans="1:25">
      <c r="A141" s="145" t="str">
        <f>IF(C141="","",VLOOKUP('Opći dio'!$C$3,'Opći dio'!$L$6:$U$136,10,FALSE))</f>
        <v/>
      </c>
      <c r="B141" s="145" t="str">
        <f>IF(C141="","",VLOOKUP('Opći dio'!$C$3,'Opći dio'!$L$6:$U$136,9,FALSE))</f>
        <v/>
      </c>
      <c r="C141" s="151"/>
      <c r="D141" s="146" t="str">
        <f t="shared" si="23"/>
        <v/>
      </c>
      <c r="E141" s="151"/>
      <c r="F141" s="146" t="str">
        <f t="shared" si="24"/>
        <v/>
      </c>
      <c r="G141" s="186"/>
      <c r="H141" s="146" t="str">
        <f t="shared" si="25"/>
        <v/>
      </c>
      <c r="I141" s="185"/>
      <c r="J141" s="185"/>
      <c r="K141" s="185"/>
      <c r="M141" s="141" t="str">
        <f t="shared" si="26"/>
        <v/>
      </c>
      <c r="N141" s="141" t="str">
        <f t="shared" si="27"/>
        <v/>
      </c>
      <c r="X141" t="s">
        <v>1372</v>
      </c>
      <c r="Y141" t="s">
        <v>1373</v>
      </c>
    </row>
    <row r="142" spans="1:25">
      <c r="A142" s="145" t="str">
        <f>IF(C142="","",VLOOKUP('Opći dio'!$C$3,'Opći dio'!$L$6:$U$136,10,FALSE))</f>
        <v/>
      </c>
      <c r="B142" s="145" t="str">
        <f>IF(C142="","",VLOOKUP('Opći dio'!$C$3,'Opći dio'!$L$6:$U$136,9,FALSE))</f>
        <v/>
      </c>
      <c r="C142" s="151"/>
      <c r="D142" s="146" t="str">
        <f t="shared" si="23"/>
        <v/>
      </c>
      <c r="E142" s="151"/>
      <c r="F142" s="146" t="str">
        <f t="shared" si="24"/>
        <v/>
      </c>
      <c r="G142" s="186"/>
      <c r="H142" s="146" t="str">
        <f t="shared" si="25"/>
        <v/>
      </c>
      <c r="I142" s="185"/>
      <c r="J142" s="185"/>
      <c r="K142" s="185"/>
      <c r="M142" s="141" t="str">
        <f t="shared" si="26"/>
        <v/>
      </c>
      <c r="N142" s="141" t="str">
        <f t="shared" si="27"/>
        <v/>
      </c>
      <c r="X142" t="s">
        <v>1376</v>
      </c>
      <c r="Y142" t="s">
        <v>1377</v>
      </c>
    </row>
    <row r="143" spans="1:25">
      <c r="A143" s="145" t="str">
        <f>IF(C143="","",VLOOKUP('Opći dio'!$C$3,'Opći dio'!$L$6:$U$136,10,FALSE))</f>
        <v/>
      </c>
      <c r="B143" s="145" t="str">
        <f>IF(C143="","",VLOOKUP('Opći dio'!$C$3,'Opći dio'!$L$6:$U$136,9,FALSE))</f>
        <v/>
      </c>
      <c r="C143" s="151"/>
      <c r="D143" s="146" t="str">
        <f t="shared" si="23"/>
        <v/>
      </c>
      <c r="E143" s="151"/>
      <c r="F143" s="146" t="str">
        <f t="shared" si="24"/>
        <v/>
      </c>
      <c r="G143" s="186"/>
      <c r="H143" s="146" t="str">
        <f t="shared" si="25"/>
        <v/>
      </c>
      <c r="I143" s="185"/>
      <c r="J143" s="185"/>
      <c r="K143" s="185"/>
      <c r="M143" s="141" t="str">
        <f t="shared" si="26"/>
        <v/>
      </c>
      <c r="N143" s="141" t="str">
        <f t="shared" si="27"/>
        <v/>
      </c>
      <c r="X143" t="s">
        <v>1374</v>
      </c>
      <c r="Y143" t="s">
        <v>1375</v>
      </c>
    </row>
    <row r="144" spans="1:25">
      <c r="A144" s="145" t="str">
        <f>IF(C144="","",VLOOKUP('Opći dio'!$C$3,'Opći dio'!$L$6:$U$136,10,FALSE))</f>
        <v/>
      </c>
      <c r="B144" s="145" t="str">
        <f>IF(C144="","",VLOOKUP('Opći dio'!$C$3,'Opći dio'!$L$6:$U$136,9,FALSE))</f>
        <v/>
      </c>
      <c r="C144" s="151"/>
      <c r="D144" s="146" t="str">
        <f t="shared" si="23"/>
        <v/>
      </c>
      <c r="E144" s="151"/>
      <c r="F144" s="146" t="str">
        <f t="shared" si="24"/>
        <v/>
      </c>
      <c r="G144" s="186"/>
      <c r="H144" s="146" t="str">
        <f t="shared" si="25"/>
        <v/>
      </c>
      <c r="I144" s="185"/>
      <c r="J144" s="185"/>
      <c r="K144" s="185"/>
      <c r="M144" s="141" t="str">
        <f t="shared" si="26"/>
        <v/>
      </c>
      <c r="N144" s="141" t="str">
        <f t="shared" si="27"/>
        <v/>
      </c>
      <c r="X144" t="s">
        <v>1380</v>
      </c>
      <c r="Y144" t="s">
        <v>1381</v>
      </c>
    </row>
    <row r="145" spans="1:25">
      <c r="A145" s="145" t="str">
        <f>IF(C145="","",VLOOKUP('Opći dio'!$C$3,'Opći dio'!$L$6:$U$136,10,FALSE))</f>
        <v/>
      </c>
      <c r="B145" s="145" t="str">
        <f>IF(C145="","",VLOOKUP('Opći dio'!$C$3,'Opći dio'!$L$6:$U$136,9,FALSE))</f>
        <v/>
      </c>
      <c r="C145" s="151"/>
      <c r="D145" s="146" t="str">
        <f t="shared" si="23"/>
        <v/>
      </c>
      <c r="E145" s="151"/>
      <c r="F145" s="146" t="str">
        <f t="shared" si="24"/>
        <v/>
      </c>
      <c r="G145" s="186"/>
      <c r="H145" s="146" t="str">
        <f t="shared" si="25"/>
        <v/>
      </c>
      <c r="I145" s="185"/>
      <c r="J145" s="185"/>
      <c r="K145" s="185"/>
      <c r="M145" s="141" t="str">
        <f t="shared" si="26"/>
        <v/>
      </c>
      <c r="N145" s="141" t="str">
        <f t="shared" si="27"/>
        <v/>
      </c>
      <c r="X145" t="s">
        <v>1382</v>
      </c>
      <c r="Y145" t="s">
        <v>1383</v>
      </c>
    </row>
    <row r="146" spans="1:25">
      <c r="A146" s="145" t="str">
        <f>IF(C146="","",VLOOKUP('Opći dio'!$C$3,'Opći dio'!$L$6:$U$136,10,FALSE))</f>
        <v/>
      </c>
      <c r="B146" s="145" t="str">
        <f>IF(C146="","",VLOOKUP('Opći dio'!$C$3,'Opći dio'!$L$6:$U$136,9,FALSE))</f>
        <v/>
      </c>
      <c r="C146" s="151"/>
      <c r="D146" s="146" t="str">
        <f t="shared" si="23"/>
        <v/>
      </c>
      <c r="E146" s="151"/>
      <c r="F146" s="146" t="str">
        <f t="shared" si="24"/>
        <v/>
      </c>
      <c r="G146" s="186"/>
      <c r="H146" s="146" t="str">
        <f t="shared" si="25"/>
        <v/>
      </c>
      <c r="I146" s="185"/>
      <c r="J146" s="185"/>
      <c r="K146" s="185"/>
      <c r="M146" s="141" t="str">
        <f t="shared" si="26"/>
        <v/>
      </c>
      <c r="N146" s="141" t="str">
        <f t="shared" si="27"/>
        <v/>
      </c>
      <c r="X146" t="s">
        <v>1384</v>
      </c>
      <c r="Y146" t="s">
        <v>1385</v>
      </c>
    </row>
    <row r="147" spans="1:25">
      <c r="A147" s="145" t="str">
        <f>IF(C147="","",VLOOKUP('Opći dio'!$C$3,'Opći dio'!$L$6:$U$136,10,FALSE))</f>
        <v/>
      </c>
      <c r="B147" s="145" t="str">
        <f>IF(C147="","",VLOOKUP('Opći dio'!$C$3,'Opći dio'!$L$6:$U$136,9,FALSE))</f>
        <v/>
      </c>
      <c r="C147" s="151"/>
      <c r="D147" s="146" t="str">
        <f t="shared" si="23"/>
        <v/>
      </c>
      <c r="E147" s="151"/>
      <c r="F147" s="146" t="str">
        <f t="shared" si="24"/>
        <v/>
      </c>
      <c r="G147" s="186"/>
      <c r="H147" s="146" t="str">
        <f t="shared" si="25"/>
        <v/>
      </c>
      <c r="I147" s="185"/>
      <c r="J147" s="185"/>
      <c r="K147" s="185"/>
      <c r="M147" s="141" t="str">
        <f t="shared" si="26"/>
        <v/>
      </c>
      <c r="N147" s="141" t="str">
        <f t="shared" si="27"/>
        <v/>
      </c>
      <c r="X147" t="s">
        <v>1386</v>
      </c>
      <c r="Y147" t="s">
        <v>1387</v>
      </c>
    </row>
    <row r="148" spans="1:25">
      <c r="A148" s="145" t="str">
        <f>IF(C148="","",VLOOKUP('Opći dio'!$C$3,'Opći dio'!$L$6:$U$136,10,FALSE))</f>
        <v/>
      </c>
      <c r="B148" s="145" t="str">
        <f>IF(C148="","",VLOOKUP('Opći dio'!$C$3,'Opći dio'!$L$6:$U$136,9,FALSE))</f>
        <v/>
      </c>
      <c r="C148" s="151"/>
      <c r="D148" s="146" t="str">
        <f t="shared" si="23"/>
        <v/>
      </c>
      <c r="E148" s="151"/>
      <c r="F148" s="146" t="str">
        <f t="shared" si="24"/>
        <v/>
      </c>
      <c r="G148" s="186"/>
      <c r="H148" s="146" t="str">
        <f t="shared" si="25"/>
        <v/>
      </c>
      <c r="I148" s="185"/>
      <c r="J148" s="185"/>
      <c r="K148" s="185"/>
      <c r="M148" s="141" t="str">
        <f t="shared" si="26"/>
        <v/>
      </c>
      <c r="N148" s="141" t="str">
        <f t="shared" si="27"/>
        <v/>
      </c>
      <c r="X148" t="s">
        <v>1388</v>
      </c>
      <c r="Y148" t="s">
        <v>1389</v>
      </c>
    </row>
    <row r="149" spans="1:25">
      <c r="A149" s="145" t="str">
        <f>IF(C149="","",VLOOKUP('Opći dio'!$C$3,'Opći dio'!$L$6:$U$136,10,FALSE))</f>
        <v/>
      </c>
      <c r="B149" s="145" t="str">
        <f>IF(C149="","",VLOOKUP('Opći dio'!$C$3,'Opći dio'!$L$6:$U$136,9,FALSE))</f>
        <v/>
      </c>
      <c r="C149" s="151"/>
      <c r="D149" s="146" t="str">
        <f t="shared" si="23"/>
        <v/>
      </c>
      <c r="E149" s="151"/>
      <c r="F149" s="146" t="str">
        <f t="shared" si="24"/>
        <v/>
      </c>
      <c r="G149" s="186"/>
      <c r="H149" s="146" t="str">
        <f t="shared" si="25"/>
        <v/>
      </c>
      <c r="I149" s="185"/>
      <c r="J149" s="185"/>
      <c r="K149" s="185"/>
      <c r="M149" s="141" t="str">
        <f t="shared" si="26"/>
        <v/>
      </c>
      <c r="N149" s="141" t="str">
        <f t="shared" si="27"/>
        <v/>
      </c>
      <c r="X149" t="s">
        <v>1390</v>
      </c>
      <c r="Y149" t="s">
        <v>1391</v>
      </c>
    </row>
    <row r="150" spans="1:25">
      <c r="A150" s="145" t="str">
        <f>IF(C150="","",VLOOKUP('Opći dio'!$C$3,'Opći dio'!$L$6:$U$136,10,FALSE))</f>
        <v/>
      </c>
      <c r="B150" s="145" t="str">
        <f>IF(C150="","",VLOOKUP('Opći dio'!$C$3,'Opći dio'!$L$6:$U$136,9,FALSE))</f>
        <v/>
      </c>
      <c r="C150" s="151"/>
      <c r="D150" s="146" t="str">
        <f t="shared" si="23"/>
        <v/>
      </c>
      <c r="E150" s="151"/>
      <c r="F150" s="146" t="str">
        <f t="shared" si="24"/>
        <v/>
      </c>
      <c r="G150" s="186"/>
      <c r="H150" s="146" t="str">
        <f t="shared" si="25"/>
        <v/>
      </c>
      <c r="I150" s="185"/>
      <c r="J150" s="185"/>
      <c r="K150" s="185"/>
      <c r="M150" s="141" t="str">
        <f t="shared" si="26"/>
        <v/>
      </c>
      <c r="N150" s="141" t="str">
        <f t="shared" si="27"/>
        <v/>
      </c>
      <c r="X150" t="s">
        <v>1392</v>
      </c>
      <c r="Y150" t="s">
        <v>1393</v>
      </c>
    </row>
    <row r="151" spans="1:25">
      <c r="A151" s="145" t="str">
        <f>IF(C151="","",VLOOKUP('Opći dio'!$C$3,'Opći dio'!$L$6:$U$136,10,FALSE))</f>
        <v/>
      </c>
      <c r="B151" s="145" t="str">
        <f>IF(C151="","",VLOOKUP('Opći dio'!$C$3,'Opći dio'!$L$6:$U$136,9,FALSE))</f>
        <v/>
      </c>
      <c r="C151" s="151"/>
      <c r="D151" s="146" t="str">
        <f t="shared" si="23"/>
        <v/>
      </c>
      <c r="E151" s="151"/>
      <c r="F151" s="146" t="str">
        <f t="shared" si="24"/>
        <v/>
      </c>
      <c r="G151" s="186"/>
      <c r="H151" s="146" t="str">
        <f t="shared" si="25"/>
        <v/>
      </c>
      <c r="I151" s="185"/>
      <c r="J151" s="185"/>
      <c r="K151" s="185"/>
      <c r="M151" s="141" t="str">
        <f t="shared" si="26"/>
        <v/>
      </c>
      <c r="N151" s="141" t="str">
        <f t="shared" si="27"/>
        <v/>
      </c>
      <c r="X151" t="s">
        <v>1394</v>
      </c>
      <c r="Y151" t="s">
        <v>1395</v>
      </c>
    </row>
    <row r="152" spans="1:25">
      <c r="A152" s="145" t="str">
        <f>IF(C152="","",VLOOKUP('Opći dio'!$C$3,'Opći dio'!$L$6:$U$136,10,FALSE))</f>
        <v/>
      </c>
      <c r="B152" s="145" t="str">
        <f>IF(C152="","",VLOOKUP('Opći dio'!$C$3,'Opći dio'!$L$6:$U$136,9,FALSE))</f>
        <v/>
      </c>
      <c r="C152" s="151"/>
      <c r="D152" s="146" t="str">
        <f t="shared" si="23"/>
        <v/>
      </c>
      <c r="E152" s="151"/>
      <c r="F152" s="146" t="str">
        <f t="shared" si="24"/>
        <v/>
      </c>
      <c r="G152" s="186"/>
      <c r="H152" s="146" t="str">
        <f t="shared" si="25"/>
        <v/>
      </c>
      <c r="I152" s="185"/>
      <c r="J152" s="185"/>
      <c r="K152" s="185"/>
      <c r="M152" s="141" t="str">
        <f t="shared" si="26"/>
        <v/>
      </c>
      <c r="N152" s="141" t="str">
        <f t="shared" si="27"/>
        <v/>
      </c>
      <c r="X152" t="s">
        <v>1396</v>
      </c>
      <c r="Y152" t="s">
        <v>1397</v>
      </c>
    </row>
    <row r="153" spans="1:25">
      <c r="A153" s="145" t="str">
        <f>IF(C153="","",VLOOKUP('Opći dio'!$C$3,'Opći dio'!$L$6:$U$136,10,FALSE))</f>
        <v/>
      </c>
      <c r="B153" s="145" t="str">
        <f>IF(C153="","",VLOOKUP('Opći dio'!$C$3,'Opći dio'!$L$6:$U$136,9,FALSE))</f>
        <v/>
      </c>
      <c r="C153" s="151"/>
      <c r="D153" s="146" t="str">
        <f t="shared" si="23"/>
        <v/>
      </c>
      <c r="E153" s="151"/>
      <c r="F153" s="146" t="str">
        <f t="shared" si="24"/>
        <v/>
      </c>
      <c r="G153" s="186"/>
      <c r="H153" s="146" t="str">
        <f t="shared" si="25"/>
        <v/>
      </c>
      <c r="I153" s="185"/>
      <c r="J153" s="185"/>
      <c r="K153" s="185"/>
      <c r="M153" s="141" t="str">
        <f t="shared" si="26"/>
        <v/>
      </c>
      <c r="N153" s="141" t="str">
        <f t="shared" si="27"/>
        <v/>
      </c>
      <c r="X153" t="s">
        <v>1398</v>
      </c>
      <c r="Y153" t="s">
        <v>1399</v>
      </c>
    </row>
    <row r="154" spans="1:25">
      <c r="A154" s="145" t="str">
        <f>IF(C154="","",VLOOKUP('Opći dio'!$C$3,'Opći dio'!$L$6:$U$136,10,FALSE))</f>
        <v/>
      </c>
      <c r="B154" s="145" t="str">
        <f>IF(C154="","",VLOOKUP('Opći dio'!$C$3,'Opći dio'!$L$6:$U$136,9,FALSE))</f>
        <v/>
      </c>
      <c r="C154" s="151"/>
      <c r="D154" s="146" t="str">
        <f t="shared" si="23"/>
        <v/>
      </c>
      <c r="E154" s="151"/>
      <c r="F154" s="146" t="str">
        <f t="shared" si="24"/>
        <v/>
      </c>
      <c r="G154" s="186"/>
      <c r="H154" s="146" t="str">
        <f t="shared" si="25"/>
        <v/>
      </c>
      <c r="I154" s="185"/>
      <c r="J154" s="185"/>
      <c r="K154" s="185"/>
      <c r="M154" s="141" t="str">
        <f t="shared" si="26"/>
        <v/>
      </c>
      <c r="N154" s="141" t="str">
        <f t="shared" si="27"/>
        <v/>
      </c>
      <c r="X154" t="s">
        <v>1400</v>
      </c>
      <c r="Y154" t="s">
        <v>2083</v>
      </c>
    </row>
    <row r="155" spans="1:25">
      <c r="A155" s="145" t="str">
        <f>IF(C155="","",VLOOKUP('Opći dio'!$C$3,'Opći dio'!$L$6:$U$136,10,FALSE))</f>
        <v/>
      </c>
      <c r="B155" s="145" t="str">
        <f>IF(C155="","",VLOOKUP('Opći dio'!$C$3,'Opći dio'!$L$6:$U$136,9,FALSE))</f>
        <v/>
      </c>
      <c r="C155" s="151"/>
      <c r="D155" s="146" t="str">
        <f t="shared" si="23"/>
        <v/>
      </c>
      <c r="E155" s="151"/>
      <c r="F155" s="146" t="str">
        <f t="shared" si="24"/>
        <v/>
      </c>
      <c r="G155" s="186"/>
      <c r="H155" s="146" t="str">
        <f t="shared" si="25"/>
        <v/>
      </c>
      <c r="I155" s="185"/>
      <c r="J155" s="185"/>
      <c r="K155" s="185"/>
      <c r="M155" s="141" t="str">
        <f t="shared" si="26"/>
        <v/>
      </c>
      <c r="N155" s="141" t="str">
        <f t="shared" si="27"/>
        <v/>
      </c>
      <c r="X155" t="s">
        <v>1401</v>
      </c>
      <c r="Y155" t="s">
        <v>2084</v>
      </c>
    </row>
    <row r="156" spans="1:25">
      <c r="A156" s="145" t="str">
        <f>IF(C156="","",VLOOKUP('Opći dio'!$C$3,'Opći dio'!$L$6:$U$136,10,FALSE))</f>
        <v/>
      </c>
      <c r="B156" s="145" t="str">
        <f>IF(C156="","",VLOOKUP('Opći dio'!$C$3,'Opći dio'!$L$6:$U$136,9,FALSE))</f>
        <v/>
      </c>
      <c r="C156" s="151"/>
      <c r="D156" s="146" t="str">
        <f t="shared" si="23"/>
        <v/>
      </c>
      <c r="E156" s="151"/>
      <c r="F156" s="146" t="str">
        <f t="shared" si="24"/>
        <v/>
      </c>
      <c r="G156" s="186"/>
      <c r="H156" s="146" t="str">
        <f t="shared" si="25"/>
        <v/>
      </c>
      <c r="I156" s="185"/>
      <c r="J156" s="185"/>
      <c r="K156" s="185"/>
      <c r="M156" s="141" t="str">
        <f t="shared" si="26"/>
        <v/>
      </c>
      <c r="N156" s="141" t="str">
        <f t="shared" si="27"/>
        <v/>
      </c>
      <c r="X156" t="s">
        <v>1402</v>
      </c>
      <c r="Y156" t="s">
        <v>2085</v>
      </c>
    </row>
    <row r="157" spans="1:25">
      <c r="A157" s="145" t="str">
        <f>IF(C157="","",VLOOKUP('Opći dio'!$C$3,'Opći dio'!$L$6:$U$136,10,FALSE))</f>
        <v/>
      </c>
      <c r="B157" s="145" t="str">
        <f>IF(C157="","",VLOOKUP('Opći dio'!$C$3,'Opći dio'!$L$6:$U$136,9,FALSE))</f>
        <v/>
      </c>
      <c r="C157" s="151"/>
      <c r="D157" s="146" t="str">
        <f t="shared" si="23"/>
        <v/>
      </c>
      <c r="E157" s="151"/>
      <c r="F157" s="146" t="str">
        <f t="shared" si="24"/>
        <v/>
      </c>
      <c r="G157" s="186"/>
      <c r="H157" s="146" t="str">
        <f t="shared" si="25"/>
        <v/>
      </c>
      <c r="I157" s="185"/>
      <c r="J157" s="185"/>
      <c r="K157" s="185"/>
      <c r="M157" s="141" t="str">
        <f t="shared" si="26"/>
        <v/>
      </c>
      <c r="N157" s="141" t="str">
        <f t="shared" si="27"/>
        <v/>
      </c>
      <c r="X157" t="s">
        <v>1403</v>
      </c>
      <c r="Y157" t="s">
        <v>1404</v>
      </c>
    </row>
    <row r="158" spans="1:25">
      <c r="A158" s="145" t="str">
        <f>IF(C158="","",VLOOKUP('Opći dio'!$C$3,'Opći dio'!$L$6:$U$136,10,FALSE))</f>
        <v/>
      </c>
      <c r="B158" s="145" t="str">
        <f>IF(C158="","",VLOOKUP('Opći dio'!$C$3,'Opći dio'!$L$6:$U$136,9,FALSE))</f>
        <v/>
      </c>
      <c r="C158" s="151"/>
      <c r="D158" s="146" t="str">
        <f t="shared" si="23"/>
        <v/>
      </c>
      <c r="E158" s="151"/>
      <c r="F158" s="146" t="str">
        <f t="shared" si="24"/>
        <v/>
      </c>
      <c r="G158" s="186"/>
      <c r="H158" s="146" t="str">
        <f t="shared" si="25"/>
        <v/>
      </c>
      <c r="I158" s="185"/>
      <c r="J158" s="185"/>
      <c r="K158" s="185"/>
      <c r="M158" s="141" t="str">
        <f t="shared" si="26"/>
        <v/>
      </c>
      <c r="N158" s="141" t="str">
        <f t="shared" si="27"/>
        <v/>
      </c>
      <c r="X158" t="s">
        <v>1405</v>
      </c>
      <c r="Y158" t="s">
        <v>1406</v>
      </c>
    </row>
    <row r="159" spans="1:25">
      <c r="A159" s="145" t="str">
        <f>IF(C159="","",VLOOKUP('Opći dio'!$C$3,'Opći dio'!$L$6:$U$136,10,FALSE))</f>
        <v/>
      </c>
      <c r="B159" s="145" t="str">
        <f>IF(C159="","",VLOOKUP('Opći dio'!$C$3,'Opći dio'!$L$6:$U$136,9,FALSE))</f>
        <v/>
      </c>
      <c r="C159" s="151"/>
      <c r="D159" s="146" t="str">
        <f t="shared" si="23"/>
        <v/>
      </c>
      <c r="E159" s="151"/>
      <c r="F159" s="146" t="str">
        <f t="shared" si="24"/>
        <v/>
      </c>
      <c r="G159" s="186"/>
      <c r="H159" s="146" t="str">
        <f t="shared" si="25"/>
        <v/>
      </c>
      <c r="I159" s="185"/>
      <c r="J159" s="185"/>
      <c r="K159" s="185"/>
      <c r="M159" s="141" t="str">
        <f t="shared" si="26"/>
        <v/>
      </c>
      <c r="N159" s="141" t="str">
        <f t="shared" si="27"/>
        <v/>
      </c>
      <c r="X159" s="141" t="s">
        <v>1407</v>
      </c>
      <c r="Y159" s="141" t="s">
        <v>2086</v>
      </c>
    </row>
    <row r="160" spans="1:25">
      <c r="A160" s="145" t="str">
        <f>IF(C160="","",VLOOKUP('Opći dio'!$C$3,'Opći dio'!$L$6:$U$136,10,FALSE))</f>
        <v/>
      </c>
      <c r="B160" s="145" t="str">
        <f>IF(C160="","",VLOOKUP('Opći dio'!$C$3,'Opći dio'!$L$6:$U$136,9,FALSE))</f>
        <v/>
      </c>
      <c r="C160" s="151"/>
      <c r="D160" s="146" t="str">
        <f t="shared" si="23"/>
        <v/>
      </c>
      <c r="E160" s="151"/>
      <c r="F160" s="146" t="str">
        <f t="shared" si="24"/>
        <v/>
      </c>
      <c r="G160" s="186"/>
      <c r="H160" s="146" t="str">
        <f t="shared" si="25"/>
        <v/>
      </c>
      <c r="I160" s="185"/>
      <c r="J160" s="185"/>
      <c r="K160" s="185"/>
      <c r="M160" s="141" t="str">
        <f t="shared" si="26"/>
        <v/>
      </c>
      <c r="N160" s="141" t="str">
        <f t="shared" si="27"/>
        <v/>
      </c>
      <c r="X160" s="141" t="s">
        <v>1408</v>
      </c>
      <c r="Y160" s="141" t="s">
        <v>2087</v>
      </c>
    </row>
    <row r="161" spans="1:25">
      <c r="A161" s="145" t="str">
        <f>IF(C161="","",VLOOKUP('Opći dio'!$C$3,'Opći dio'!$L$6:$U$136,10,FALSE))</f>
        <v/>
      </c>
      <c r="B161" s="145" t="str">
        <f>IF(C161="","",VLOOKUP('Opći dio'!$C$3,'Opći dio'!$L$6:$U$136,9,FALSE))</f>
        <v/>
      </c>
      <c r="C161" s="151"/>
      <c r="D161" s="146" t="str">
        <f t="shared" si="23"/>
        <v/>
      </c>
      <c r="E161" s="151"/>
      <c r="F161" s="146" t="str">
        <f t="shared" si="24"/>
        <v/>
      </c>
      <c r="G161" s="186"/>
      <c r="H161" s="146" t="str">
        <f t="shared" si="25"/>
        <v/>
      </c>
      <c r="I161" s="185"/>
      <c r="J161" s="185"/>
      <c r="K161" s="185"/>
      <c r="M161" s="141" t="str">
        <f t="shared" si="26"/>
        <v/>
      </c>
      <c r="N161" s="141" t="str">
        <f t="shared" si="27"/>
        <v/>
      </c>
      <c r="X161" s="141" t="s">
        <v>1409</v>
      </c>
      <c r="Y161" s="141" t="s">
        <v>1410</v>
      </c>
    </row>
    <row r="162" spans="1:25">
      <c r="A162" s="145" t="str">
        <f>IF(C162="","",VLOOKUP('Opći dio'!$C$3,'Opći dio'!$L$6:$U$136,10,FALSE))</f>
        <v/>
      </c>
      <c r="B162" s="145" t="str">
        <f>IF(C162="","",VLOOKUP('Opći dio'!$C$3,'Opći dio'!$L$6:$U$136,9,FALSE))</f>
        <v/>
      </c>
      <c r="C162" s="151"/>
      <c r="D162" s="146" t="str">
        <f t="shared" si="23"/>
        <v/>
      </c>
      <c r="E162" s="151"/>
      <c r="F162" s="146" t="str">
        <f t="shared" si="24"/>
        <v/>
      </c>
      <c r="G162" s="186"/>
      <c r="H162" s="146" t="str">
        <f t="shared" si="25"/>
        <v/>
      </c>
      <c r="I162" s="185"/>
      <c r="J162" s="185"/>
      <c r="K162" s="185"/>
      <c r="M162" s="141" t="str">
        <f t="shared" si="26"/>
        <v/>
      </c>
      <c r="N162" s="141" t="str">
        <f t="shared" si="27"/>
        <v/>
      </c>
      <c r="X162" s="141" t="s">
        <v>1411</v>
      </c>
      <c r="Y162" s="141" t="s">
        <v>1412</v>
      </c>
    </row>
    <row r="163" spans="1:25">
      <c r="A163" s="145" t="str">
        <f>IF(C163="","",VLOOKUP('Opći dio'!$C$3,'Opći dio'!$L$6:$U$136,10,FALSE))</f>
        <v/>
      </c>
      <c r="B163" s="145" t="str">
        <f>IF(C163="","",VLOOKUP('Opći dio'!$C$3,'Opći dio'!$L$6:$U$136,9,FALSE))</f>
        <v/>
      </c>
      <c r="C163" s="151"/>
      <c r="D163" s="146" t="str">
        <f t="shared" si="23"/>
        <v/>
      </c>
      <c r="E163" s="151"/>
      <c r="F163" s="146" t="str">
        <f t="shared" si="24"/>
        <v/>
      </c>
      <c r="G163" s="186"/>
      <c r="H163" s="146" t="str">
        <f t="shared" si="25"/>
        <v/>
      </c>
      <c r="I163" s="185"/>
      <c r="J163" s="185"/>
      <c r="K163" s="185"/>
      <c r="M163" s="141" t="str">
        <f t="shared" si="26"/>
        <v/>
      </c>
      <c r="N163" s="141" t="str">
        <f t="shared" si="27"/>
        <v/>
      </c>
      <c r="X163" s="141" t="s">
        <v>1415</v>
      </c>
      <c r="Y163" s="141" t="s">
        <v>1416</v>
      </c>
    </row>
    <row r="164" spans="1:25">
      <c r="A164" s="145" t="str">
        <f>IF(C164="","",VLOOKUP('Opći dio'!$C$3,'Opći dio'!$L$6:$U$136,10,FALSE))</f>
        <v/>
      </c>
      <c r="B164" s="145" t="str">
        <f>IF(C164="","",VLOOKUP('Opći dio'!$C$3,'Opći dio'!$L$6:$U$136,9,FALSE))</f>
        <v/>
      </c>
      <c r="C164" s="151"/>
      <c r="D164" s="146" t="str">
        <f t="shared" si="23"/>
        <v/>
      </c>
      <c r="E164" s="151"/>
      <c r="F164" s="146" t="str">
        <f t="shared" si="24"/>
        <v/>
      </c>
      <c r="G164" s="186"/>
      <c r="H164" s="146" t="str">
        <f t="shared" si="25"/>
        <v/>
      </c>
      <c r="I164" s="185"/>
      <c r="J164" s="185"/>
      <c r="K164" s="185"/>
      <c r="M164" s="141" t="str">
        <f t="shared" si="26"/>
        <v/>
      </c>
      <c r="N164" s="141" t="str">
        <f t="shared" si="27"/>
        <v/>
      </c>
      <c r="X164" s="141" t="s">
        <v>1417</v>
      </c>
      <c r="Y164" s="141" t="s">
        <v>1418</v>
      </c>
    </row>
    <row r="165" spans="1:25">
      <c r="A165" s="145" t="str">
        <f>IF(C165="","",VLOOKUP('Opći dio'!$C$3,'Opći dio'!$L$6:$U$136,10,FALSE))</f>
        <v/>
      </c>
      <c r="B165" s="145" t="str">
        <f>IF(C165="","",VLOOKUP('Opći dio'!$C$3,'Opći dio'!$L$6:$U$136,9,FALSE))</f>
        <v/>
      </c>
      <c r="C165" s="151"/>
      <c r="D165" s="146" t="str">
        <f t="shared" si="23"/>
        <v/>
      </c>
      <c r="E165" s="151"/>
      <c r="F165" s="146" t="str">
        <f t="shared" si="24"/>
        <v/>
      </c>
      <c r="G165" s="186"/>
      <c r="H165" s="146" t="str">
        <f t="shared" si="25"/>
        <v/>
      </c>
      <c r="I165" s="185"/>
      <c r="J165" s="185"/>
      <c r="K165" s="185"/>
      <c r="M165" s="141" t="str">
        <f t="shared" si="26"/>
        <v/>
      </c>
      <c r="N165" s="141" t="str">
        <f t="shared" si="27"/>
        <v/>
      </c>
      <c r="X165" s="141" t="s">
        <v>1419</v>
      </c>
      <c r="Y165" s="141" t="s">
        <v>1420</v>
      </c>
    </row>
    <row r="166" spans="1:25">
      <c r="A166" s="145" t="str">
        <f>IF(C166="","",VLOOKUP('Opći dio'!$C$3,'Opći dio'!$L$6:$U$136,10,FALSE))</f>
        <v/>
      </c>
      <c r="B166" s="145" t="str">
        <f>IF(C166="","",VLOOKUP('Opći dio'!$C$3,'Opći dio'!$L$6:$U$136,9,FALSE))</f>
        <v/>
      </c>
      <c r="C166" s="151"/>
      <c r="D166" s="146" t="str">
        <f t="shared" si="23"/>
        <v/>
      </c>
      <c r="E166" s="151"/>
      <c r="F166" s="146" t="str">
        <f t="shared" si="24"/>
        <v/>
      </c>
      <c r="G166" s="186"/>
      <c r="H166" s="146" t="str">
        <f t="shared" si="25"/>
        <v/>
      </c>
      <c r="I166" s="185"/>
      <c r="J166" s="185"/>
      <c r="K166" s="185"/>
      <c r="M166" s="141" t="str">
        <f t="shared" si="26"/>
        <v/>
      </c>
      <c r="N166" s="141" t="str">
        <f t="shared" si="27"/>
        <v/>
      </c>
      <c r="X166" s="141" t="s">
        <v>1421</v>
      </c>
      <c r="Y166" s="141" t="s">
        <v>1422</v>
      </c>
    </row>
    <row r="167" spans="1:25">
      <c r="A167" s="145" t="str">
        <f>IF(C167="","",VLOOKUP('Opći dio'!$C$3,'Opći dio'!$L$6:$U$136,10,FALSE))</f>
        <v/>
      </c>
      <c r="B167" s="145" t="str">
        <f>IF(C167="","",VLOOKUP('Opći dio'!$C$3,'Opći dio'!$L$6:$U$136,9,FALSE))</f>
        <v/>
      </c>
      <c r="C167" s="151"/>
      <c r="D167" s="146" t="str">
        <f t="shared" si="23"/>
        <v/>
      </c>
      <c r="E167" s="151"/>
      <c r="F167" s="146" t="str">
        <f t="shared" si="24"/>
        <v/>
      </c>
      <c r="G167" s="186"/>
      <c r="H167" s="146" t="str">
        <f t="shared" si="25"/>
        <v/>
      </c>
      <c r="I167" s="185"/>
      <c r="J167" s="185"/>
      <c r="K167" s="185"/>
      <c r="M167" s="141" t="str">
        <f t="shared" si="26"/>
        <v/>
      </c>
      <c r="N167" s="141" t="str">
        <f t="shared" si="27"/>
        <v/>
      </c>
      <c r="X167" s="141" t="s">
        <v>1423</v>
      </c>
      <c r="Y167" s="141" t="s">
        <v>1424</v>
      </c>
    </row>
    <row r="168" spans="1:25">
      <c r="A168" s="145" t="str">
        <f>IF(C168="","",VLOOKUP('Opći dio'!$C$3,'Opći dio'!$L$6:$U$136,10,FALSE))</f>
        <v/>
      </c>
      <c r="B168" s="145" t="str">
        <f>IF(C168="","",VLOOKUP('Opći dio'!$C$3,'Opći dio'!$L$6:$U$136,9,FALSE))</f>
        <v/>
      </c>
      <c r="C168" s="151"/>
      <c r="D168" s="146" t="str">
        <f t="shared" si="23"/>
        <v/>
      </c>
      <c r="E168" s="151"/>
      <c r="F168" s="146" t="str">
        <f t="shared" si="24"/>
        <v/>
      </c>
      <c r="G168" s="186"/>
      <c r="H168" s="146" t="str">
        <f t="shared" si="25"/>
        <v/>
      </c>
      <c r="I168" s="185"/>
      <c r="J168" s="185"/>
      <c r="K168" s="185"/>
      <c r="M168" s="141" t="str">
        <f t="shared" si="26"/>
        <v/>
      </c>
      <c r="N168" s="141" t="str">
        <f t="shared" si="27"/>
        <v/>
      </c>
      <c r="X168" s="141" t="s">
        <v>1425</v>
      </c>
      <c r="Y168" s="141" t="s">
        <v>1426</v>
      </c>
    </row>
    <row r="169" spans="1:25">
      <c r="A169" s="145" t="str">
        <f>IF(C169="","",VLOOKUP('Opći dio'!$C$3,'Opći dio'!$L$6:$U$136,10,FALSE))</f>
        <v/>
      </c>
      <c r="B169" s="145" t="str">
        <f>IF(C169="","",VLOOKUP('Opći dio'!$C$3,'Opći dio'!$L$6:$U$136,9,FALSE))</f>
        <v/>
      </c>
      <c r="C169" s="151"/>
      <c r="D169" s="146" t="str">
        <f t="shared" si="23"/>
        <v/>
      </c>
      <c r="E169" s="151"/>
      <c r="F169" s="146" t="str">
        <f t="shared" si="24"/>
        <v/>
      </c>
      <c r="G169" s="186"/>
      <c r="H169" s="146" t="str">
        <f t="shared" si="25"/>
        <v/>
      </c>
      <c r="I169" s="185"/>
      <c r="J169" s="185"/>
      <c r="K169" s="185"/>
      <c r="M169" s="141" t="str">
        <f t="shared" si="26"/>
        <v/>
      </c>
      <c r="N169" s="141" t="str">
        <f t="shared" si="27"/>
        <v/>
      </c>
      <c r="X169" s="141" t="s">
        <v>1427</v>
      </c>
      <c r="Y169" s="141" t="s">
        <v>1428</v>
      </c>
    </row>
    <row r="170" spans="1:25">
      <c r="A170" s="145" t="str">
        <f>IF(C170="","",VLOOKUP('Opći dio'!$C$3,'Opći dio'!$L$6:$U$136,10,FALSE))</f>
        <v/>
      </c>
      <c r="B170" s="145" t="str">
        <f>IF(C170="","",VLOOKUP('Opći dio'!$C$3,'Opći dio'!$L$6:$U$136,9,FALSE))</f>
        <v/>
      </c>
      <c r="C170" s="151"/>
      <c r="D170" s="146" t="str">
        <f t="shared" si="23"/>
        <v/>
      </c>
      <c r="E170" s="151"/>
      <c r="F170" s="146" t="str">
        <f t="shared" si="24"/>
        <v/>
      </c>
      <c r="G170" s="186"/>
      <c r="H170" s="146" t="str">
        <f t="shared" si="25"/>
        <v/>
      </c>
      <c r="I170" s="185"/>
      <c r="J170" s="185"/>
      <c r="K170" s="185"/>
      <c r="M170" s="141" t="str">
        <f t="shared" si="26"/>
        <v/>
      </c>
      <c r="N170" s="141" t="str">
        <f t="shared" si="27"/>
        <v/>
      </c>
      <c r="X170" s="141" t="s">
        <v>1429</v>
      </c>
      <c r="Y170" s="141" t="s">
        <v>1430</v>
      </c>
    </row>
    <row r="171" spans="1:25">
      <c r="A171" s="145" t="str">
        <f>IF(C171="","",VLOOKUP('Opći dio'!$C$3,'Opći dio'!$L$6:$U$136,10,FALSE))</f>
        <v/>
      </c>
      <c r="B171" s="145" t="str">
        <f>IF(C171="","",VLOOKUP('Opći dio'!$C$3,'Opći dio'!$L$6:$U$136,9,FALSE))</f>
        <v/>
      </c>
      <c r="C171" s="151"/>
      <c r="D171" s="146" t="str">
        <f t="shared" si="23"/>
        <v/>
      </c>
      <c r="E171" s="151"/>
      <c r="F171" s="146" t="str">
        <f t="shared" si="24"/>
        <v/>
      </c>
      <c r="G171" s="186"/>
      <c r="H171" s="146" t="str">
        <f t="shared" si="25"/>
        <v/>
      </c>
      <c r="I171" s="185"/>
      <c r="J171" s="185"/>
      <c r="K171" s="185"/>
      <c r="M171" s="141" t="str">
        <f t="shared" si="26"/>
        <v/>
      </c>
      <c r="N171" s="141" t="str">
        <f t="shared" si="27"/>
        <v/>
      </c>
      <c r="X171" s="141" t="s">
        <v>1431</v>
      </c>
      <c r="Y171" s="141" t="s">
        <v>1432</v>
      </c>
    </row>
    <row r="172" spans="1:25">
      <c r="A172" s="145" t="str">
        <f>IF(C172="","",VLOOKUP('Opći dio'!$C$3,'Opći dio'!$L$6:$U$136,10,FALSE))</f>
        <v/>
      </c>
      <c r="B172" s="145" t="str">
        <f>IF(C172="","",VLOOKUP('Opći dio'!$C$3,'Opći dio'!$L$6:$U$136,9,FALSE))</f>
        <v/>
      </c>
      <c r="C172" s="151"/>
      <c r="D172" s="146" t="str">
        <f t="shared" si="23"/>
        <v/>
      </c>
      <c r="E172" s="151"/>
      <c r="F172" s="146" t="str">
        <f t="shared" si="24"/>
        <v/>
      </c>
      <c r="G172" s="186"/>
      <c r="H172" s="146" t="str">
        <f t="shared" si="25"/>
        <v/>
      </c>
      <c r="I172" s="185"/>
      <c r="J172" s="185"/>
      <c r="K172" s="185"/>
      <c r="M172" s="141" t="str">
        <f t="shared" si="26"/>
        <v/>
      </c>
      <c r="N172" s="141" t="str">
        <f t="shared" si="27"/>
        <v/>
      </c>
      <c r="X172" s="141" t="s">
        <v>1433</v>
      </c>
      <c r="Y172" s="141" t="s">
        <v>1434</v>
      </c>
    </row>
    <row r="173" spans="1:25">
      <c r="A173" s="145" t="str">
        <f>IF(C173="","",VLOOKUP('Opći dio'!$C$3,'Opći dio'!$L$6:$U$136,10,FALSE))</f>
        <v/>
      </c>
      <c r="B173" s="145" t="str">
        <f>IF(C173="","",VLOOKUP('Opći dio'!$C$3,'Opći dio'!$L$6:$U$136,9,FALSE))</f>
        <v/>
      </c>
      <c r="C173" s="151"/>
      <c r="D173" s="146" t="str">
        <f t="shared" si="23"/>
        <v/>
      </c>
      <c r="E173" s="151"/>
      <c r="F173" s="146" t="str">
        <f t="shared" si="24"/>
        <v/>
      </c>
      <c r="G173" s="186"/>
      <c r="H173" s="146" t="str">
        <f t="shared" si="25"/>
        <v/>
      </c>
      <c r="I173" s="185"/>
      <c r="J173" s="185"/>
      <c r="K173" s="185"/>
      <c r="M173" s="141" t="str">
        <f t="shared" si="26"/>
        <v/>
      </c>
      <c r="N173" s="141" t="str">
        <f t="shared" si="27"/>
        <v/>
      </c>
      <c r="X173" s="141" t="s">
        <v>1435</v>
      </c>
      <c r="Y173" s="141" t="s">
        <v>1436</v>
      </c>
    </row>
    <row r="174" spans="1:25">
      <c r="A174" s="145" t="str">
        <f>IF(C174="","",VLOOKUP('Opći dio'!$C$3,'Opći dio'!$L$6:$U$136,10,FALSE))</f>
        <v/>
      </c>
      <c r="B174" s="145" t="str">
        <f>IF(C174="","",VLOOKUP('Opći dio'!$C$3,'Opći dio'!$L$6:$U$136,9,FALSE))</f>
        <v/>
      </c>
      <c r="C174" s="151"/>
      <c r="D174" s="146" t="str">
        <f t="shared" si="23"/>
        <v/>
      </c>
      <c r="E174" s="151"/>
      <c r="F174" s="146" t="str">
        <f t="shared" si="24"/>
        <v/>
      </c>
      <c r="G174" s="186"/>
      <c r="H174" s="146" t="str">
        <f t="shared" si="25"/>
        <v/>
      </c>
      <c r="I174" s="185"/>
      <c r="J174" s="185"/>
      <c r="K174" s="185"/>
      <c r="M174" s="141" t="str">
        <f t="shared" si="26"/>
        <v/>
      </c>
      <c r="N174" s="141" t="str">
        <f t="shared" si="27"/>
        <v/>
      </c>
      <c r="X174" s="141" t="s">
        <v>1437</v>
      </c>
      <c r="Y174" s="141" t="s">
        <v>1438</v>
      </c>
    </row>
    <row r="175" spans="1:25">
      <c r="A175" s="145" t="str">
        <f>IF(C175="","",VLOOKUP('Opći dio'!$C$3,'Opći dio'!$L$6:$U$136,10,FALSE))</f>
        <v/>
      </c>
      <c r="B175" s="145" t="str">
        <f>IF(C175="","",VLOOKUP('Opći dio'!$C$3,'Opći dio'!$L$6:$U$136,9,FALSE))</f>
        <v/>
      </c>
      <c r="C175" s="151"/>
      <c r="D175" s="146" t="str">
        <f t="shared" si="23"/>
        <v/>
      </c>
      <c r="E175" s="151"/>
      <c r="F175" s="146" t="str">
        <f t="shared" si="24"/>
        <v/>
      </c>
      <c r="G175" s="186"/>
      <c r="H175" s="146" t="str">
        <f t="shared" si="25"/>
        <v/>
      </c>
      <c r="I175" s="185"/>
      <c r="J175" s="185"/>
      <c r="K175" s="185"/>
      <c r="M175" s="141" t="str">
        <f t="shared" si="26"/>
        <v/>
      </c>
      <c r="N175" s="141" t="str">
        <f t="shared" si="27"/>
        <v/>
      </c>
      <c r="X175" s="141" t="s">
        <v>1439</v>
      </c>
      <c r="Y175" s="141" t="s">
        <v>1440</v>
      </c>
    </row>
    <row r="176" spans="1:25">
      <c r="A176" s="145" t="str">
        <f>IF(C176="","",VLOOKUP('Opći dio'!$C$3,'Opći dio'!$L$6:$U$136,10,FALSE))</f>
        <v/>
      </c>
      <c r="B176" s="145" t="str">
        <f>IF(C176="","",VLOOKUP('Opći dio'!$C$3,'Opći dio'!$L$6:$U$136,9,FALSE))</f>
        <v/>
      </c>
      <c r="C176" s="151"/>
      <c r="D176" s="146" t="str">
        <f t="shared" si="23"/>
        <v/>
      </c>
      <c r="E176" s="151"/>
      <c r="F176" s="146" t="str">
        <f t="shared" si="24"/>
        <v/>
      </c>
      <c r="G176" s="186"/>
      <c r="H176" s="146" t="str">
        <f t="shared" si="25"/>
        <v/>
      </c>
      <c r="I176" s="185"/>
      <c r="J176" s="185"/>
      <c r="K176" s="185"/>
      <c r="M176" s="141" t="str">
        <f t="shared" si="26"/>
        <v/>
      </c>
      <c r="N176" s="141" t="str">
        <f t="shared" si="27"/>
        <v/>
      </c>
      <c r="X176" s="141" t="s">
        <v>1441</v>
      </c>
      <c r="Y176" s="141" t="s">
        <v>1442</v>
      </c>
    </row>
    <row r="177" spans="1:25">
      <c r="A177" s="145" t="str">
        <f>IF(C177="","",VLOOKUP('Opći dio'!$C$3,'Opći dio'!$L$6:$U$136,10,FALSE))</f>
        <v/>
      </c>
      <c r="B177" s="145" t="str">
        <f>IF(C177="","",VLOOKUP('Opći dio'!$C$3,'Opći dio'!$L$6:$U$136,9,FALSE))</f>
        <v/>
      </c>
      <c r="C177" s="151"/>
      <c r="D177" s="146" t="str">
        <f t="shared" si="23"/>
        <v/>
      </c>
      <c r="E177" s="151"/>
      <c r="F177" s="146" t="str">
        <f t="shared" si="24"/>
        <v/>
      </c>
      <c r="G177" s="186"/>
      <c r="H177" s="146" t="str">
        <f t="shared" si="25"/>
        <v/>
      </c>
      <c r="I177" s="185"/>
      <c r="J177" s="185"/>
      <c r="K177" s="185"/>
      <c r="M177" s="141" t="str">
        <f t="shared" si="26"/>
        <v/>
      </c>
      <c r="N177" s="141" t="str">
        <f t="shared" si="27"/>
        <v/>
      </c>
      <c r="X177" s="141" t="s">
        <v>1444</v>
      </c>
      <c r="Y177" s="141" t="s">
        <v>1445</v>
      </c>
    </row>
    <row r="178" spans="1:25">
      <c r="A178" s="145" t="str">
        <f>IF(C178="","",VLOOKUP('Opći dio'!$C$3,'Opći dio'!$L$6:$U$136,10,FALSE))</f>
        <v/>
      </c>
      <c r="B178" s="145" t="str">
        <f>IF(C178="","",VLOOKUP('Opći dio'!$C$3,'Opći dio'!$L$6:$U$136,9,FALSE))</f>
        <v/>
      </c>
      <c r="C178" s="151"/>
      <c r="D178" s="146" t="str">
        <f t="shared" si="23"/>
        <v/>
      </c>
      <c r="E178" s="151"/>
      <c r="F178" s="146" t="str">
        <f t="shared" si="24"/>
        <v/>
      </c>
      <c r="G178" s="186"/>
      <c r="H178" s="146" t="str">
        <f t="shared" si="25"/>
        <v/>
      </c>
      <c r="I178" s="185"/>
      <c r="J178" s="185"/>
      <c r="K178" s="185"/>
      <c r="M178" s="141" t="str">
        <f t="shared" si="26"/>
        <v/>
      </c>
      <c r="N178" s="141" t="str">
        <f t="shared" si="27"/>
        <v/>
      </c>
    </row>
    <row r="179" spans="1:25">
      <c r="A179" s="145" t="str">
        <f>IF(C179="","",VLOOKUP('Opći dio'!$C$3,'Opći dio'!$L$6:$U$136,10,FALSE))</f>
        <v/>
      </c>
      <c r="B179" s="145" t="str">
        <f>IF(C179="","",VLOOKUP('Opći dio'!$C$3,'Opći dio'!$L$6:$U$136,9,FALSE))</f>
        <v/>
      </c>
      <c r="C179" s="151"/>
      <c r="D179" s="146" t="str">
        <f t="shared" si="23"/>
        <v/>
      </c>
      <c r="E179" s="151"/>
      <c r="F179" s="146" t="str">
        <f t="shared" si="24"/>
        <v/>
      </c>
      <c r="G179" s="186"/>
      <c r="H179" s="146" t="str">
        <f t="shared" si="25"/>
        <v/>
      </c>
      <c r="I179" s="185"/>
      <c r="J179" s="185"/>
      <c r="K179" s="185"/>
      <c r="M179" s="141" t="str">
        <f t="shared" si="26"/>
        <v/>
      </c>
      <c r="N179" s="141" t="str">
        <f t="shared" si="27"/>
        <v/>
      </c>
    </row>
    <row r="180" spans="1:25">
      <c r="A180" s="145" t="str">
        <f>IF(C180="","",VLOOKUP('Opći dio'!$C$3,'Opći dio'!$L$6:$U$136,10,FALSE))</f>
        <v/>
      </c>
      <c r="B180" s="145" t="str">
        <f>IF(C180="","",VLOOKUP('Opći dio'!$C$3,'Opći dio'!$L$6:$U$136,9,FALSE))</f>
        <v/>
      </c>
      <c r="C180" s="151"/>
      <c r="D180" s="146" t="str">
        <f t="shared" si="23"/>
        <v/>
      </c>
      <c r="E180" s="151"/>
      <c r="F180" s="146" t="str">
        <f t="shared" si="24"/>
        <v/>
      </c>
      <c r="G180" s="186"/>
      <c r="H180" s="146" t="str">
        <f t="shared" si="25"/>
        <v/>
      </c>
      <c r="I180" s="185"/>
      <c r="J180" s="185"/>
      <c r="K180" s="185"/>
      <c r="M180" s="141" t="str">
        <f t="shared" si="26"/>
        <v/>
      </c>
      <c r="N180" s="141" t="str">
        <f t="shared" si="27"/>
        <v/>
      </c>
    </row>
    <row r="181" spans="1:25">
      <c r="A181" s="145" t="str">
        <f>IF(C181="","",VLOOKUP('Opći dio'!$C$3,'Opći dio'!$L$6:$U$136,10,FALSE))</f>
        <v/>
      </c>
      <c r="B181" s="145" t="str">
        <f>IF(C181="","",VLOOKUP('Opći dio'!$C$3,'Opći dio'!$L$6:$U$136,9,FALSE))</f>
        <v/>
      </c>
      <c r="C181" s="151"/>
      <c r="D181" s="146" t="str">
        <f t="shared" si="23"/>
        <v/>
      </c>
      <c r="E181" s="151"/>
      <c r="F181" s="146" t="str">
        <f t="shared" si="24"/>
        <v/>
      </c>
      <c r="G181" s="186"/>
      <c r="H181" s="146" t="str">
        <f t="shared" si="25"/>
        <v/>
      </c>
      <c r="I181" s="185"/>
      <c r="J181" s="185"/>
      <c r="K181" s="185"/>
      <c r="M181" s="141" t="str">
        <f t="shared" si="26"/>
        <v/>
      </c>
      <c r="N181" s="141" t="str">
        <f t="shared" si="27"/>
        <v/>
      </c>
    </row>
    <row r="182" spans="1:25">
      <c r="A182" s="145" t="str">
        <f>IF(C182="","",VLOOKUP('Opći dio'!$C$3,'Opći dio'!$L$6:$U$136,10,FALSE))</f>
        <v/>
      </c>
      <c r="B182" s="145" t="str">
        <f>IF(C182="","",VLOOKUP('Opći dio'!$C$3,'Opći dio'!$L$6:$U$136,9,FALSE))</f>
        <v/>
      </c>
      <c r="C182" s="151"/>
      <c r="D182" s="146" t="str">
        <f t="shared" si="23"/>
        <v/>
      </c>
      <c r="E182" s="151"/>
      <c r="F182" s="146" t="str">
        <f t="shared" si="24"/>
        <v/>
      </c>
      <c r="G182" s="186"/>
      <c r="H182" s="146" t="str">
        <f t="shared" si="25"/>
        <v/>
      </c>
      <c r="I182" s="185"/>
      <c r="J182" s="185"/>
      <c r="K182" s="185"/>
      <c r="M182" s="141" t="str">
        <f t="shared" si="26"/>
        <v/>
      </c>
      <c r="N182" s="141" t="str">
        <f t="shared" si="27"/>
        <v/>
      </c>
    </row>
    <row r="183" spans="1:25">
      <c r="A183" s="145" t="str">
        <f>IF(C183="","",VLOOKUP('Opći dio'!$C$3,'Opći dio'!$L$6:$U$136,10,FALSE))</f>
        <v/>
      </c>
      <c r="B183" s="145" t="str">
        <f>IF(C183="","",VLOOKUP('Opći dio'!$C$3,'Opći dio'!$L$6:$U$136,9,FALSE))</f>
        <v/>
      </c>
      <c r="C183" s="151"/>
      <c r="D183" s="146" t="str">
        <f t="shared" si="23"/>
        <v/>
      </c>
      <c r="E183" s="151"/>
      <c r="F183" s="146" t="str">
        <f t="shared" si="24"/>
        <v/>
      </c>
      <c r="G183" s="186"/>
      <c r="H183" s="146" t="str">
        <f t="shared" si="25"/>
        <v/>
      </c>
      <c r="I183" s="185"/>
      <c r="J183" s="185"/>
      <c r="K183" s="185"/>
      <c r="M183" s="141" t="str">
        <f t="shared" si="26"/>
        <v/>
      </c>
      <c r="N183" s="141" t="str">
        <f t="shared" si="27"/>
        <v/>
      </c>
    </row>
    <row r="184" spans="1:25">
      <c r="A184" s="145" t="str">
        <f>IF(C184="","",VLOOKUP('Opći dio'!$C$3,'Opći dio'!$L$6:$U$136,10,FALSE))</f>
        <v/>
      </c>
      <c r="B184" s="145" t="str">
        <f>IF(C184="","",VLOOKUP('Opći dio'!$C$3,'Opći dio'!$L$6:$U$136,9,FALSE))</f>
        <v/>
      </c>
      <c r="C184" s="151"/>
      <c r="D184" s="146" t="str">
        <f t="shared" si="23"/>
        <v/>
      </c>
      <c r="E184" s="151"/>
      <c r="F184" s="146" t="str">
        <f t="shared" si="24"/>
        <v/>
      </c>
      <c r="G184" s="186"/>
      <c r="H184" s="146" t="str">
        <f t="shared" si="25"/>
        <v/>
      </c>
      <c r="I184" s="185"/>
      <c r="J184" s="185"/>
      <c r="K184" s="185"/>
      <c r="M184" s="141" t="str">
        <f t="shared" si="26"/>
        <v/>
      </c>
      <c r="N184" s="141" t="str">
        <f t="shared" si="27"/>
        <v/>
      </c>
    </row>
    <row r="185" spans="1:25">
      <c r="A185" s="145" t="str">
        <f>IF(C185="","",VLOOKUP('Opći dio'!$C$3,'Opći dio'!$L$6:$U$136,10,FALSE))</f>
        <v/>
      </c>
      <c r="B185" s="145" t="str">
        <f>IF(C185="","",VLOOKUP('Opći dio'!$C$3,'Opći dio'!$L$6:$U$136,9,FALSE))</f>
        <v/>
      </c>
      <c r="C185" s="151"/>
      <c r="D185" s="146" t="str">
        <f t="shared" si="23"/>
        <v/>
      </c>
      <c r="E185" s="151"/>
      <c r="F185" s="146" t="str">
        <f t="shared" si="24"/>
        <v/>
      </c>
      <c r="G185" s="186"/>
      <c r="H185" s="146" t="str">
        <f t="shared" si="25"/>
        <v/>
      </c>
      <c r="I185" s="185"/>
      <c r="J185" s="185"/>
      <c r="K185" s="185"/>
      <c r="M185" s="141" t="str">
        <f t="shared" si="26"/>
        <v/>
      </c>
      <c r="N185" s="141" t="str">
        <f t="shared" si="27"/>
        <v/>
      </c>
    </row>
    <row r="186" spans="1:25">
      <c r="A186" s="145" t="str">
        <f>IF(C186="","",VLOOKUP('Opći dio'!$C$3,'Opći dio'!$L$6:$U$136,10,FALSE))</f>
        <v/>
      </c>
      <c r="B186" s="145" t="str">
        <f>IF(C186="","",VLOOKUP('Opći dio'!$C$3,'Opći dio'!$L$6:$U$136,9,FALSE))</f>
        <v/>
      </c>
      <c r="C186" s="151"/>
      <c r="D186" s="146" t="str">
        <f t="shared" si="23"/>
        <v/>
      </c>
      <c r="E186" s="151"/>
      <c r="F186" s="146" t="str">
        <f t="shared" si="24"/>
        <v/>
      </c>
      <c r="G186" s="186"/>
      <c r="H186" s="146" t="str">
        <f t="shared" si="25"/>
        <v/>
      </c>
      <c r="I186" s="185"/>
      <c r="J186" s="185"/>
      <c r="K186" s="185"/>
      <c r="M186" s="141" t="str">
        <f t="shared" si="26"/>
        <v/>
      </c>
      <c r="N186" s="141" t="str">
        <f t="shared" si="27"/>
        <v/>
      </c>
    </row>
    <row r="187" spans="1:25">
      <c r="A187" s="145" t="str">
        <f>IF(C187="","",VLOOKUP('Opći dio'!$C$3,'Opći dio'!$L$6:$U$136,10,FALSE))</f>
        <v/>
      </c>
      <c r="B187" s="145" t="str">
        <f>IF(C187="","",VLOOKUP('Opći dio'!$C$3,'Opći dio'!$L$6:$U$136,9,FALSE))</f>
        <v/>
      </c>
      <c r="C187" s="151"/>
      <c r="D187" s="146" t="str">
        <f t="shared" si="23"/>
        <v/>
      </c>
      <c r="E187" s="151"/>
      <c r="F187" s="146" t="str">
        <f t="shared" si="24"/>
        <v/>
      </c>
      <c r="G187" s="186"/>
      <c r="H187" s="146" t="str">
        <f t="shared" si="25"/>
        <v/>
      </c>
      <c r="I187" s="185"/>
      <c r="J187" s="185"/>
      <c r="K187" s="185"/>
      <c r="M187" s="141" t="str">
        <f t="shared" si="26"/>
        <v/>
      </c>
      <c r="N187" s="141" t="str">
        <f t="shared" si="27"/>
        <v/>
      </c>
    </row>
    <row r="188" spans="1:25">
      <c r="A188" s="145" t="str">
        <f>IF(C188="","",VLOOKUP('Opći dio'!$C$3,'Opći dio'!$L$6:$U$136,10,FALSE))</f>
        <v/>
      </c>
      <c r="B188" s="145" t="str">
        <f>IF(C188="","",VLOOKUP('Opći dio'!$C$3,'Opći dio'!$L$6:$U$136,9,FALSE))</f>
        <v/>
      </c>
      <c r="C188" s="151"/>
      <c r="D188" s="146" t="str">
        <f t="shared" si="23"/>
        <v/>
      </c>
      <c r="E188" s="151"/>
      <c r="F188" s="146" t="str">
        <f t="shared" si="24"/>
        <v/>
      </c>
      <c r="G188" s="186"/>
      <c r="H188" s="146" t="str">
        <f t="shared" si="25"/>
        <v/>
      </c>
      <c r="I188" s="185"/>
      <c r="J188" s="185"/>
      <c r="K188" s="185"/>
      <c r="M188" s="141" t="str">
        <f t="shared" si="26"/>
        <v/>
      </c>
      <c r="N188" s="141" t="str">
        <f t="shared" si="27"/>
        <v/>
      </c>
    </row>
    <row r="189" spans="1:25">
      <c r="A189" s="145" t="str">
        <f>IF(C189="","",VLOOKUP('Opći dio'!$C$3,'Opći dio'!$L$6:$U$136,10,FALSE))</f>
        <v/>
      </c>
      <c r="B189" s="145" t="str">
        <f>IF(C189="","",VLOOKUP('Opći dio'!$C$3,'Opći dio'!$L$6:$U$136,9,FALSE))</f>
        <v/>
      </c>
      <c r="C189" s="151"/>
      <c r="D189" s="146" t="str">
        <f t="shared" si="23"/>
        <v/>
      </c>
      <c r="E189" s="151"/>
      <c r="F189" s="146" t="str">
        <f t="shared" si="24"/>
        <v/>
      </c>
      <c r="G189" s="186"/>
      <c r="H189" s="146" t="str">
        <f t="shared" si="25"/>
        <v/>
      </c>
      <c r="I189" s="185"/>
      <c r="J189" s="185"/>
      <c r="K189" s="185"/>
      <c r="M189" s="141" t="str">
        <f t="shared" si="26"/>
        <v/>
      </c>
      <c r="N189" s="141" t="str">
        <f t="shared" si="27"/>
        <v/>
      </c>
    </row>
    <row r="190" spans="1:25">
      <c r="A190" s="145" t="str">
        <f>IF(C190="","",VLOOKUP('Opći dio'!$C$3,'Opći dio'!$L$6:$U$136,10,FALSE))</f>
        <v/>
      </c>
      <c r="B190" s="145" t="str">
        <f>IF(C190="","",VLOOKUP('Opći dio'!$C$3,'Opći dio'!$L$6:$U$136,9,FALSE))</f>
        <v/>
      </c>
      <c r="C190" s="151"/>
      <c r="D190" s="146" t="str">
        <f t="shared" si="23"/>
        <v/>
      </c>
      <c r="E190" s="151"/>
      <c r="F190" s="146" t="str">
        <f t="shared" si="24"/>
        <v/>
      </c>
      <c r="G190" s="186"/>
      <c r="H190" s="146" t="str">
        <f t="shared" si="25"/>
        <v/>
      </c>
      <c r="I190" s="185"/>
      <c r="J190" s="185"/>
      <c r="K190" s="185"/>
      <c r="M190" s="141" t="str">
        <f t="shared" si="26"/>
        <v/>
      </c>
      <c r="N190" s="141" t="str">
        <f t="shared" si="27"/>
        <v/>
      </c>
    </row>
    <row r="191" spans="1:25">
      <c r="A191" s="145" t="str">
        <f>IF(C191="","",VLOOKUP('Opći dio'!$C$3,'Opći dio'!$L$6:$U$136,10,FALSE))</f>
        <v/>
      </c>
      <c r="B191" s="145" t="str">
        <f>IF(C191="","",VLOOKUP('Opći dio'!$C$3,'Opći dio'!$L$6:$U$136,9,FALSE))</f>
        <v/>
      </c>
      <c r="C191" s="151"/>
      <c r="D191" s="146" t="str">
        <f t="shared" si="23"/>
        <v/>
      </c>
      <c r="E191" s="151"/>
      <c r="F191" s="146" t="str">
        <f t="shared" si="24"/>
        <v/>
      </c>
      <c r="G191" s="186"/>
      <c r="H191" s="146" t="str">
        <f t="shared" si="25"/>
        <v/>
      </c>
      <c r="I191" s="185"/>
      <c r="J191" s="185"/>
      <c r="K191" s="185"/>
      <c r="M191" s="141" t="str">
        <f t="shared" si="26"/>
        <v/>
      </c>
      <c r="N191" s="141" t="str">
        <f t="shared" si="27"/>
        <v/>
      </c>
    </row>
    <row r="192" spans="1:25">
      <c r="A192" s="145" t="str">
        <f>IF(C192="","",VLOOKUP('Opći dio'!$C$3,'Opći dio'!$L$6:$U$136,10,FALSE))</f>
        <v/>
      </c>
      <c r="B192" s="145" t="str">
        <f>IF(C192="","",VLOOKUP('Opći dio'!$C$3,'Opći dio'!$L$6:$U$136,9,FALSE))</f>
        <v/>
      </c>
      <c r="C192" s="151"/>
      <c r="D192" s="146" t="str">
        <f t="shared" si="23"/>
        <v/>
      </c>
      <c r="E192" s="151"/>
      <c r="F192" s="146" t="str">
        <f t="shared" si="24"/>
        <v/>
      </c>
      <c r="G192" s="186"/>
      <c r="H192" s="146" t="str">
        <f t="shared" si="25"/>
        <v/>
      </c>
      <c r="I192" s="185"/>
      <c r="J192" s="185"/>
      <c r="K192" s="185"/>
      <c r="M192" s="141" t="str">
        <f t="shared" si="26"/>
        <v/>
      </c>
      <c r="N192" s="141" t="str">
        <f t="shared" si="27"/>
        <v/>
      </c>
    </row>
    <row r="193" spans="1:14">
      <c r="A193" s="145" t="str">
        <f>IF(C193="","",VLOOKUP('Opći dio'!$C$3,'Opći dio'!$L$6:$U$136,10,FALSE))</f>
        <v/>
      </c>
      <c r="B193" s="145" t="str">
        <f>IF(C193="","",VLOOKUP('Opći dio'!$C$3,'Opći dio'!$L$6:$U$136,9,FALSE))</f>
        <v/>
      </c>
      <c r="C193" s="151"/>
      <c r="D193" s="146" t="str">
        <f t="shared" si="23"/>
        <v/>
      </c>
      <c r="E193" s="151"/>
      <c r="F193" s="146" t="str">
        <f t="shared" si="24"/>
        <v/>
      </c>
      <c r="G193" s="186"/>
      <c r="H193" s="146" t="str">
        <f t="shared" si="25"/>
        <v/>
      </c>
      <c r="I193" s="185"/>
      <c r="J193" s="185"/>
      <c r="K193" s="185"/>
      <c r="M193" s="141" t="str">
        <f t="shared" si="26"/>
        <v/>
      </c>
      <c r="N193" s="141" t="str">
        <f t="shared" si="27"/>
        <v/>
      </c>
    </row>
    <row r="194" spans="1:14">
      <c r="A194" s="145" t="str">
        <f>IF(C194="","",VLOOKUP('Opći dio'!$C$3,'Opći dio'!$L$6:$U$136,10,FALSE))</f>
        <v/>
      </c>
      <c r="B194" s="145" t="str">
        <f>IF(C194="","",VLOOKUP('Opći dio'!$C$3,'Opći dio'!$L$6:$U$136,9,FALSE))</f>
        <v/>
      </c>
      <c r="C194" s="151"/>
      <c r="D194" s="146" t="str">
        <f t="shared" si="23"/>
        <v/>
      </c>
      <c r="E194" s="151"/>
      <c r="F194" s="146" t="str">
        <f t="shared" si="24"/>
        <v/>
      </c>
      <c r="G194" s="186"/>
      <c r="H194" s="146" t="str">
        <f t="shared" si="25"/>
        <v/>
      </c>
      <c r="I194" s="185"/>
      <c r="J194" s="185"/>
      <c r="K194" s="185"/>
      <c r="M194" s="141" t="str">
        <f t="shared" si="26"/>
        <v/>
      </c>
      <c r="N194" s="141" t="str">
        <f t="shared" si="27"/>
        <v/>
      </c>
    </row>
    <row r="195" spans="1:14">
      <c r="A195" s="145" t="str">
        <f>IF(C195="","",VLOOKUP('Opći dio'!$C$3,'Opći dio'!$L$6:$U$136,10,FALSE))</f>
        <v/>
      </c>
      <c r="B195" s="145" t="str">
        <f>IF(C195="","",VLOOKUP('Opći dio'!$C$3,'Opći dio'!$L$6:$U$136,9,FALSE))</f>
        <v/>
      </c>
      <c r="C195" s="151"/>
      <c r="D195" s="146" t="str">
        <f t="shared" si="23"/>
        <v/>
      </c>
      <c r="E195" s="151"/>
      <c r="F195" s="146" t="str">
        <f t="shared" si="24"/>
        <v/>
      </c>
      <c r="G195" s="186"/>
      <c r="H195" s="146" t="str">
        <f t="shared" si="25"/>
        <v/>
      </c>
      <c r="I195" s="185"/>
      <c r="J195" s="185"/>
      <c r="K195" s="185"/>
      <c r="M195" s="141" t="str">
        <f t="shared" si="26"/>
        <v/>
      </c>
      <c r="N195" s="141" t="str">
        <f t="shared" si="27"/>
        <v/>
      </c>
    </row>
    <row r="196" spans="1:14">
      <c r="A196" s="145" t="str">
        <f>IF(C196="","",VLOOKUP('Opći dio'!$C$3,'Opći dio'!$L$6:$U$136,10,FALSE))</f>
        <v/>
      </c>
      <c r="B196" s="145" t="str">
        <f>IF(C196="","",VLOOKUP('Opći dio'!$C$3,'Opći dio'!$L$6:$U$136,9,FALSE))</f>
        <v/>
      </c>
      <c r="C196" s="151"/>
      <c r="D196" s="146" t="str">
        <f t="shared" ref="D196:D259" si="28">IFERROR(VLOOKUP(C196,$O$6:$P$23,2,FALSE),"")</f>
        <v/>
      </c>
      <c r="E196" s="151"/>
      <c r="F196" s="146" t="str">
        <f t="shared" ref="F196:F259" si="29">IFERROR(VLOOKUP(E196,$R$5:$T$129,2,FALSE),"")</f>
        <v/>
      </c>
      <c r="G196" s="186"/>
      <c r="H196" s="146" t="str">
        <f t="shared" ref="H196:H259" si="30">IFERROR(VLOOKUP(G196,$X$6:$Y$200,2,FALSE),"")</f>
        <v/>
      </c>
      <c r="I196" s="185"/>
      <c r="J196" s="185"/>
      <c r="K196" s="185"/>
      <c r="M196" s="141" t="str">
        <f t="shared" ref="M196:M259" si="31">LEFT(E196,3)</f>
        <v/>
      </c>
      <c r="N196" s="141" t="str">
        <f t="shared" ref="N196:N259" si="32">LEFT(E196,2)</f>
        <v/>
      </c>
    </row>
    <row r="197" spans="1:14">
      <c r="A197" s="145" t="str">
        <f>IF(C197="","",VLOOKUP('Opći dio'!$C$3,'Opći dio'!$L$6:$U$136,10,FALSE))</f>
        <v/>
      </c>
      <c r="B197" s="145" t="str">
        <f>IF(C197="","",VLOOKUP('Opći dio'!$C$3,'Opći dio'!$L$6:$U$136,9,FALSE))</f>
        <v/>
      </c>
      <c r="C197" s="151"/>
      <c r="D197" s="146" t="str">
        <f t="shared" si="28"/>
        <v/>
      </c>
      <c r="E197" s="151"/>
      <c r="F197" s="146" t="str">
        <f t="shared" si="29"/>
        <v/>
      </c>
      <c r="G197" s="186"/>
      <c r="H197" s="146" t="str">
        <f t="shared" si="30"/>
        <v/>
      </c>
      <c r="I197" s="185"/>
      <c r="J197" s="185"/>
      <c r="K197" s="185"/>
      <c r="M197" s="141" t="str">
        <f t="shared" si="31"/>
        <v/>
      </c>
      <c r="N197" s="141" t="str">
        <f t="shared" si="32"/>
        <v/>
      </c>
    </row>
    <row r="198" spans="1:14">
      <c r="A198" s="145" t="str">
        <f>IF(C198="","",VLOOKUP('Opći dio'!$C$3,'Opći dio'!$L$6:$U$136,10,FALSE))</f>
        <v/>
      </c>
      <c r="B198" s="145" t="str">
        <f>IF(C198="","",VLOOKUP('Opći dio'!$C$3,'Opći dio'!$L$6:$U$136,9,FALSE))</f>
        <v/>
      </c>
      <c r="C198" s="151"/>
      <c r="D198" s="146" t="str">
        <f t="shared" si="28"/>
        <v/>
      </c>
      <c r="E198" s="151"/>
      <c r="F198" s="146" t="str">
        <f t="shared" si="29"/>
        <v/>
      </c>
      <c r="G198" s="186"/>
      <c r="H198" s="146" t="str">
        <f t="shared" si="30"/>
        <v/>
      </c>
      <c r="I198" s="185"/>
      <c r="J198" s="185"/>
      <c r="K198" s="185"/>
      <c r="M198" s="141" t="str">
        <f t="shared" si="31"/>
        <v/>
      </c>
      <c r="N198" s="141" t="str">
        <f t="shared" si="32"/>
        <v/>
      </c>
    </row>
    <row r="199" spans="1:14">
      <c r="A199" s="145" t="str">
        <f>IF(C199="","",VLOOKUP('Opći dio'!$C$3,'Opći dio'!$L$6:$U$136,10,FALSE))</f>
        <v/>
      </c>
      <c r="B199" s="145" t="str">
        <f>IF(C199="","",VLOOKUP('Opći dio'!$C$3,'Opći dio'!$L$6:$U$136,9,FALSE))</f>
        <v/>
      </c>
      <c r="C199" s="151"/>
      <c r="D199" s="146" t="str">
        <f t="shared" si="28"/>
        <v/>
      </c>
      <c r="E199" s="151"/>
      <c r="F199" s="146" t="str">
        <f t="shared" si="29"/>
        <v/>
      </c>
      <c r="G199" s="186"/>
      <c r="H199" s="146" t="str">
        <f t="shared" si="30"/>
        <v/>
      </c>
      <c r="I199" s="185"/>
      <c r="J199" s="185"/>
      <c r="K199" s="185"/>
      <c r="M199" s="141" t="str">
        <f t="shared" si="31"/>
        <v/>
      </c>
      <c r="N199" s="141" t="str">
        <f t="shared" si="32"/>
        <v/>
      </c>
    </row>
    <row r="200" spans="1:14">
      <c r="A200" s="145" t="str">
        <f>IF(C200="","",VLOOKUP('Opći dio'!$C$3,'Opći dio'!$L$6:$U$136,10,FALSE))</f>
        <v/>
      </c>
      <c r="B200" s="145" t="str">
        <f>IF(C200="","",VLOOKUP('Opći dio'!$C$3,'Opći dio'!$L$6:$U$136,9,FALSE))</f>
        <v/>
      </c>
      <c r="C200" s="151"/>
      <c r="D200" s="146" t="str">
        <f t="shared" si="28"/>
        <v/>
      </c>
      <c r="E200" s="151"/>
      <c r="F200" s="146" t="str">
        <f t="shared" si="29"/>
        <v/>
      </c>
      <c r="G200" s="186"/>
      <c r="H200" s="146" t="str">
        <f t="shared" si="30"/>
        <v/>
      </c>
      <c r="I200" s="185"/>
      <c r="J200" s="185"/>
      <c r="K200" s="185"/>
      <c r="M200" s="141" t="str">
        <f t="shared" si="31"/>
        <v/>
      </c>
      <c r="N200" s="141" t="str">
        <f t="shared" si="32"/>
        <v/>
      </c>
    </row>
    <row r="201" spans="1:14">
      <c r="A201" s="145" t="str">
        <f>IF(C201="","",VLOOKUP('Opći dio'!$C$3,'Opći dio'!$L$6:$U$136,10,FALSE))</f>
        <v/>
      </c>
      <c r="B201" s="145" t="str">
        <f>IF(C201="","",VLOOKUP('Opći dio'!$C$3,'Opći dio'!$L$6:$U$136,9,FALSE))</f>
        <v/>
      </c>
      <c r="C201" s="151"/>
      <c r="D201" s="146" t="str">
        <f t="shared" si="28"/>
        <v/>
      </c>
      <c r="E201" s="151"/>
      <c r="F201" s="146" t="str">
        <f t="shared" si="29"/>
        <v/>
      </c>
      <c r="G201" s="186"/>
      <c r="H201" s="146" t="str">
        <f t="shared" si="30"/>
        <v/>
      </c>
      <c r="I201" s="185"/>
      <c r="J201" s="185"/>
      <c r="K201" s="185"/>
      <c r="M201" s="141" t="str">
        <f t="shared" si="31"/>
        <v/>
      </c>
      <c r="N201" s="141" t="str">
        <f t="shared" si="32"/>
        <v/>
      </c>
    </row>
    <row r="202" spans="1:14">
      <c r="A202" s="145" t="str">
        <f>IF(C202="","",VLOOKUP('Opći dio'!$C$3,'Opći dio'!$L$6:$U$136,10,FALSE))</f>
        <v/>
      </c>
      <c r="B202" s="145" t="str">
        <f>IF(C202="","",VLOOKUP('Opći dio'!$C$3,'Opći dio'!$L$6:$U$136,9,FALSE))</f>
        <v/>
      </c>
      <c r="C202" s="151"/>
      <c r="D202" s="146" t="str">
        <f t="shared" si="28"/>
        <v/>
      </c>
      <c r="E202" s="151"/>
      <c r="F202" s="146" t="str">
        <f t="shared" si="29"/>
        <v/>
      </c>
      <c r="G202" s="186"/>
      <c r="H202" s="146" t="str">
        <f t="shared" si="30"/>
        <v/>
      </c>
      <c r="I202" s="185"/>
      <c r="J202" s="185"/>
      <c r="K202" s="185"/>
      <c r="M202" s="141" t="str">
        <f t="shared" si="31"/>
        <v/>
      </c>
      <c r="N202" s="141" t="str">
        <f t="shared" si="32"/>
        <v/>
      </c>
    </row>
    <row r="203" spans="1:14">
      <c r="A203" s="145" t="str">
        <f>IF(C203="","",VLOOKUP('Opći dio'!$C$3,'Opći dio'!$L$6:$U$136,10,FALSE))</f>
        <v/>
      </c>
      <c r="B203" s="145" t="str">
        <f>IF(C203="","",VLOOKUP('Opći dio'!$C$3,'Opći dio'!$L$6:$U$136,9,FALSE))</f>
        <v/>
      </c>
      <c r="C203" s="151"/>
      <c r="D203" s="146" t="str">
        <f t="shared" si="28"/>
        <v/>
      </c>
      <c r="E203" s="151"/>
      <c r="F203" s="146" t="str">
        <f t="shared" si="29"/>
        <v/>
      </c>
      <c r="G203" s="186"/>
      <c r="H203" s="146" t="str">
        <f t="shared" si="30"/>
        <v/>
      </c>
      <c r="I203" s="185"/>
      <c r="J203" s="185"/>
      <c r="K203" s="185"/>
      <c r="M203" s="141" t="str">
        <f t="shared" si="31"/>
        <v/>
      </c>
      <c r="N203" s="141" t="str">
        <f t="shared" si="32"/>
        <v/>
      </c>
    </row>
    <row r="204" spans="1:14">
      <c r="A204" s="145" t="str">
        <f>IF(C204="","",VLOOKUP('Opći dio'!$C$3,'Opći dio'!$L$6:$U$136,10,FALSE))</f>
        <v/>
      </c>
      <c r="B204" s="145" t="str">
        <f>IF(C204="","",VLOOKUP('Opći dio'!$C$3,'Opći dio'!$L$6:$U$136,9,FALSE))</f>
        <v/>
      </c>
      <c r="C204" s="151"/>
      <c r="D204" s="146" t="str">
        <f t="shared" si="28"/>
        <v/>
      </c>
      <c r="E204" s="151"/>
      <c r="F204" s="146" t="str">
        <f t="shared" si="29"/>
        <v/>
      </c>
      <c r="G204" s="186"/>
      <c r="H204" s="146" t="str">
        <f t="shared" si="30"/>
        <v/>
      </c>
      <c r="I204" s="185"/>
      <c r="J204" s="185"/>
      <c r="K204" s="185"/>
      <c r="M204" s="141" t="str">
        <f t="shared" si="31"/>
        <v/>
      </c>
      <c r="N204" s="141" t="str">
        <f t="shared" si="32"/>
        <v/>
      </c>
    </row>
    <row r="205" spans="1:14">
      <c r="A205" s="145" t="str">
        <f>IF(C205="","",VLOOKUP('Opći dio'!$C$3,'Opći dio'!$L$6:$U$136,10,FALSE))</f>
        <v/>
      </c>
      <c r="B205" s="145" t="str">
        <f>IF(C205="","",VLOOKUP('Opći dio'!$C$3,'Opći dio'!$L$6:$U$136,9,FALSE))</f>
        <v/>
      </c>
      <c r="C205" s="151"/>
      <c r="D205" s="146" t="str">
        <f t="shared" si="28"/>
        <v/>
      </c>
      <c r="E205" s="151"/>
      <c r="F205" s="146" t="str">
        <f t="shared" si="29"/>
        <v/>
      </c>
      <c r="G205" s="186"/>
      <c r="H205" s="146" t="str">
        <f t="shared" si="30"/>
        <v/>
      </c>
      <c r="I205" s="185"/>
      <c r="J205" s="185"/>
      <c r="K205" s="185"/>
      <c r="M205" s="141" t="str">
        <f t="shared" si="31"/>
        <v/>
      </c>
      <c r="N205" s="141" t="str">
        <f t="shared" si="32"/>
        <v/>
      </c>
    </row>
    <row r="206" spans="1:14">
      <c r="A206" s="145" t="str">
        <f>IF(C206="","",VLOOKUP('Opći dio'!$C$3,'Opći dio'!$L$6:$U$136,10,FALSE))</f>
        <v/>
      </c>
      <c r="B206" s="145" t="str">
        <f>IF(C206="","",VLOOKUP('Opći dio'!$C$3,'Opći dio'!$L$6:$U$136,9,FALSE))</f>
        <v/>
      </c>
      <c r="C206" s="151"/>
      <c r="D206" s="146" t="str">
        <f t="shared" si="28"/>
        <v/>
      </c>
      <c r="E206" s="151"/>
      <c r="F206" s="146" t="str">
        <f t="shared" si="29"/>
        <v/>
      </c>
      <c r="G206" s="186"/>
      <c r="H206" s="146" t="str">
        <f t="shared" si="30"/>
        <v/>
      </c>
      <c r="I206" s="185"/>
      <c r="J206" s="185"/>
      <c r="K206" s="185"/>
      <c r="M206" s="141" t="str">
        <f t="shared" si="31"/>
        <v/>
      </c>
      <c r="N206" s="141" t="str">
        <f t="shared" si="32"/>
        <v/>
      </c>
    </row>
    <row r="207" spans="1:14">
      <c r="A207" s="145" t="str">
        <f>IF(C207="","",VLOOKUP('Opći dio'!$C$3,'Opći dio'!$L$6:$U$136,10,FALSE))</f>
        <v/>
      </c>
      <c r="B207" s="145" t="str">
        <f>IF(C207="","",VLOOKUP('Opći dio'!$C$3,'Opći dio'!$L$6:$U$136,9,FALSE))</f>
        <v/>
      </c>
      <c r="C207" s="151"/>
      <c r="D207" s="146" t="str">
        <f t="shared" si="28"/>
        <v/>
      </c>
      <c r="E207" s="151"/>
      <c r="F207" s="146" t="str">
        <f t="shared" si="29"/>
        <v/>
      </c>
      <c r="G207" s="186"/>
      <c r="H207" s="146" t="str">
        <f t="shared" si="30"/>
        <v/>
      </c>
      <c r="I207" s="185"/>
      <c r="J207" s="185"/>
      <c r="K207" s="185"/>
      <c r="M207" s="141" t="str">
        <f t="shared" si="31"/>
        <v/>
      </c>
      <c r="N207" s="141" t="str">
        <f t="shared" si="32"/>
        <v/>
      </c>
    </row>
    <row r="208" spans="1:14">
      <c r="A208" s="145" t="str">
        <f>IF(C208="","",VLOOKUP('Opći dio'!$C$3,'Opći dio'!$L$6:$U$136,10,FALSE))</f>
        <v/>
      </c>
      <c r="B208" s="145" t="str">
        <f>IF(C208="","",VLOOKUP('Opći dio'!$C$3,'Opći dio'!$L$6:$U$136,9,FALSE))</f>
        <v/>
      </c>
      <c r="C208" s="151"/>
      <c r="D208" s="146" t="str">
        <f t="shared" si="28"/>
        <v/>
      </c>
      <c r="E208" s="151"/>
      <c r="F208" s="146" t="str">
        <f t="shared" si="29"/>
        <v/>
      </c>
      <c r="G208" s="186"/>
      <c r="H208" s="146" t="str">
        <f t="shared" si="30"/>
        <v/>
      </c>
      <c r="I208" s="185"/>
      <c r="J208" s="185"/>
      <c r="K208" s="185"/>
      <c r="M208" s="141" t="str">
        <f t="shared" si="31"/>
        <v/>
      </c>
      <c r="N208" s="141" t="str">
        <f t="shared" si="32"/>
        <v/>
      </c>
    </row>
    <row r="209" spans="1:14">
      <c r="A209" s="145" t="str">
        <f>IF(C209="","",VLOOKUP('Opći dio'!$C$3,'Opći dio'!$L$6:$U$136,10,FALSE))</f>
        <v/>
      </c>
      <c r="B209" s="145" t="str">
        <f>IF(C209="","",VLOOKUP('Opći dio'!$C$3,'Opći dio'!$L$6:$U$136,9,FALSE))</f>
        <v/>
      </c>
      <c r="C209" s="151"/>
      <c r="D209" s="146" t="str">
        <f t="shared" si="28"/>
        <v/>
      </c>
      <c r="E209" s="151"/>
      <c r="F209" s="146" t="str">
        <f t="shared" si="29"/>
        <v/>
      </c>
      <c r="G209" s="186"/>
      <c r="H209" s="146" t="str">
        <f t="shared" si="30"/>
        <v/>
      </c>
      <c r="I209" s="185"/>
      <c r="J209" s="185"/>
      <c r="K209" s="185"/>
      <c r="M209" s="141" t="str">
        <f t="shared" si="31"/>
        <v/>
      </c>
      <c r="N209" s="141" t="str">
        <f t="shared" si="32"/>
        <v/>
      </c>
    </row>
    <row r="210" spans="1:14">
      <c r="A210" s="145" t="str">
        <f>IF(C210="","",VLOOKUP('Opći dio'!$C$3,'Opći dio'!$L$6:$U$136,10,FALSE))</f>
        <v/>
      </c>
      <c r="B210" s="145" t="str">
        <f>IF(C210="","",VLOOKUP('Opći dio'!$C$3,'Opći dio'!$L$6:$U$136,9,FALSE))</f>
        <v/>
      </c>
      <c r="C210" s="151"/>
      <c r="D210" s="146" t="str">
        <f t="shared" si="28"/>
        <v/>
      </c>
      <c r="E210" s="151"/>
      <c r="F210" s="146" t="str">
        <f t="shared" si="29"/>
        <v/>
      </c>
      <c r="G210" s="186"/>
      <c r="H210" s="146" t="str">
        <f t="shared" si="30"/>
        <v/>
      </c>
      <c r="I210" s="185"/>
      <c r="J210" s="185"/>
      <c r="K210" s="185"/>
      <c r="M210" s="141" t="str">
        <f t="shared" si="31"/>
        <v/>
      </c>
      <c r="N210" s="141" t="str">
        <f t="shared" si="32"/>
        <v/>
      </c>
    </row>
    <row r="211" spans="1:14">
      <c r="A211" s="145" t="str">
        <f>IF(C211="","",VLOOKUP('Opći dio'!$C$3,'Opći dio'!$L$6:$U$136,10,FALSE))</f>
        <v/>
      </c>
      <c r="B211" s="145" t="str">
        <f>IF(C211="","",VLOOKUP('Opći dio'!$C$3,'Opći dio'!$L$6:$U$136,9,FALSE))</f>
        <v/>
      </c>
      <c r="C211" s="151"/>
      <c r="D211" s="146" t="str">
        <f t="shared" si="28"/>
        <v/>
      </c>
      <c r="E211" s="151"/>
      <c r="F211" s="146" t="str">
        <f t="shared" si="29"/>
        <v/>
      </c>
      <c r="G211" s="186"/>
      <c r="H211" s="146" t="str">
        <f t="shared" si="30"/>
        <v/>
      </c>
      <c r="I211" s="185"/>
      <c r="J211" s="185"/>
      <c r="K211" s="185"/>
      <c r="M211" s="141" t="str">
        <f t="shared" si="31"/>
        <v/>
      </c>
      <c r="N211" s="141" t="str">
        <f t="shared" si="32"/>
        <v/>
      </c>
    </row>
    <row r="212" spans="1:14">
      <c r="A212" s="145" t="str">
        <f>IF(C212="","",VLOOKUP('Opći dio'!$C$3,'Opći dio'!$L$6:$U$136,10,FALSE))</f>
        <v/>
      </c>
      <c r="B212" s="145" t="str">
        <f>IF(C212="","",VLOOKUP('Opći dio'!$C$3,'Opći dio'!$L$6:$U$136,9,FALSE))</f>
        <v/>
      </c>
      <c r="C212" s="151"/>
      <c r="D212" s="146" t="str">
        <f t="shared" si="28"/>
        <v/>
      </c>
      <c r="E212" s="151"/>
      <c r="F212" s="146" t="str">
        <f t="shared" si="29"/>
        <v/>
      </c>
      <c r="G212" s="186"/>
      <c r="H212" s="146" t="str">
        <f t="shared" si="30"/>
        <v/>
      </c>
      <c r="I212" s="185"/>
      <c r="J212" s="185"/>
      <c r="K212" s="185"/>
      <c r="M212" s="141" t="str">
        <f t="shared" si="31"/>
        <v/>
      </c>
      <c r="N212" s="141" t="str">
        <f t="shared" si="32"/>
        <v/>
      </c>
    </row>
    <row r="213" spans="1:14">
      <c r="A213" s="145" t="str">
        <f>IF(C213="","",VLOOKUP('Opći dio'!$C$3,'Opći dio'!$L$6:$U$136,10,FALSE))</f>
        <v/>
      </c>
      <c r="B213" s="145" t="str">
        <f>IF(C213="","",VLOOKUP('Opći dio'!$C$3,'Opći dio'!$L$6:$U$136,9,FALSE))</f>
        <v/>
      </c>
      <c r="C213" s="151"/>
      <c r="D213" s="146" t="str">
        <f t="shared" si="28"/>
        <v/>
      </c>
      <c r="E213" s="151"/>
      <c r="F213" s="146" t="str">
        <f t="shared" si="29"/>
        <v/>
      </c>
      <c r="G213" s="186"/>
      <c r="H213" s="146" t="str">
        <f t="shared" si="30"/>
        <v/>
      </c>
      <c r="I213" s="185"/>
      <c r="J213" s="185"/>
      <c r="K213" s="185"/>
      <c r="M213" s="141" t="str">
        <f t="shared" si="31"/>
        <v/>
      </c>
      <c r="N213" s="141" t="str">
        <f t="shared" si="32"/>
        <v/>
      </c>
    </row>
    <row r="214" spans="1:14">
      <c r="A214" s="145" t="str">
        <f>IF(C214="","",VLOOKUP('Opći dio'!$C$3,'Opći dio'!$L$6:$U$136,10,FALSE))</f>
        <v/>
      </c>
      <c r="B214" s="145" t="str">
        <f>IF(C214="","",VLOOKUP('Opći dio'!$C$3,'Opći dio'!$L$6:$U$136,9,FALSE))</f>
        <v/>
      </c>
      <c r="C214" s="151"/>
      <c r="D214" s="146" t="str">
        <f t="shared" si="28"/>
        <v/>
      </c>
      <c r="E214" s="151"/>
      <c r="F214" s="146" t="str">
        <f t="shared" si="29"/>
        <v/>
      </c>
      <c r="G214" s="186"/>
      <c r="H214" s="146" t="str">
        <f t="shared" si="30"/>
        <v/>
      </c>
      <c r="I214" s="185"/>
      <c r="J214" s="185"/>
      <c r="K214" s="185"/>
      <c r="M214" s="141" t="str">
        <f t="shared" si="31"/>
        <v/>
      </c>
      <c r="N214" s="141" t="str">
        <f t="shared" si="32"/>
        <v/>
      </c>
    </row>
    <row r="215" spans="1:14">
      <c r="A215" s="145" t="str">
        <f>IF(C215="","",VLOOKUP('Opći dio'!$C$3,'Opći dio'!$L$6:$U$136,10,FALSE))</f>
        <v/>
      </c>
      <c r="B215" s="145" t="str">
        <f>IF(C215="","",VLOOKUP('Opći dio'!$C$3,'Opći dio'!$L$6:$U$136,9,FALSE))</f>
        <v/>
      </c>
      <c r="C215" s="151"/>
      <c r="D215" s="146" t="str">
        <f t="shared" si="28"/>
        <v/>
      </c>
      <c r="E215" s="151"/>
      <c r="F215" s="146" t="str">
        <f t="shared" si="29"/>
        <v/>
      </c>
      <c r="G215" s="186"/>
      <c r="H215" s="146" t="str">
        <f t="shared" si="30"/>
        <v/>
      </c>
      <c r="I215" s="185"/>
      <c r="J215" s="185"/>
      <c r="K215" s="185"/>
      <c r="M215" s="141" t="str">
        <f t="shared" si="31"/>
        <v/>
      </c>
      <c r="N215" s="141" t="str">
        <f t="shared" si="32"/>
        <v/>
      </c>
    </row>
    <row r="216" spans="1:14">
      <c r="A216" s="145" t="str">
        <f>IF(C216="","",VLOOKUP('Opći dio'!$C$3,'Opći dio'!$L$6:$U$136,10,FALSE))</f>
        <v/>
      </c>
      <c r="B216" s="145" t="str">
        <f>IF(C216="","",VLOOKUP('Opći dio'!$C$3,'Opći dio'!$L$6:$U$136,9,FALSE))</f>
        <v/>
      </c>
      <c r="C216" s="151"/>
      <c r="D216" s="146" t="str">
        <f t="shared" si="28"/>
        <v/>
      </c>
      <c r="E216" s="151"/>
      <c r="F216" s="146" t="str">
        <f t="shared" si="29"/>
        <v/>
      </c>
      <c r="G216" s="186"/>
      <c r="H216" s="146" t="str">
        <f t="shared" si="30"/>
        <v/>
      </c>
      <c r="I216" s="185"/>
      <c r="J216" s="185"/>
      <c r="K216" s="185"/>
      <c r="M216" s="141" t="str">
        <f t="shared" si="31"/>
        <v/>
      </c>
      <c r="N216" s="141" t="str">
        <f t="shared" si="32"/>
        <v/>
      </c>
    </row>
    <row r="217" spans="1:14">
      <c r="A217" s="145" t="str">
        <f>IF(C217="","",VLOOKUP('Opći dio'!$C$3,'Opći dio'!$L$6:$U$136,10,FALSE))</f>
        <v/>
      </c>
      <c r="B217" s="145" t="str">
        <f>IF(C217="","",VLOOKUP('Opći dio'!$C$3,'Opći dio'!$L$6:$U$136,9,FALSE))</f>
        <v/>
      </c>
      <c r="C217" s="151"/>
      <c r="D217" s="146" t="str">
        <f t="shared" si="28"/>
        <v/>
      </c>
      <c r="E217" s="151"/>
      <c r="F217" s="146" t="str">
        <f t="shared" si="29"/>
        <v/>
      </c>
      <c r="G217" s="186"/>
      <c r="H217" s="146" t="str">
        <f t="shared" si="30"/>
        <v/>
      </c>
      <c r="I217" s="185"/>
      <c r="J217" s="185"/>
      <c r="K217" s="185"/>
      <c r="M217" s="141" t="str">
        <f t="shared" si="31"/>
        <v/>
      </c>
      <c r="N217" s="141" t="str">
        <f t="shared" si="32"/>
        <v/>
      </c>
    </row>
    <row r="218" spans="1:14">
      <c r="A218" s="145" t="str">
        <f>IF(C218="","",VLOOKUP('Opći dio'!$C$3,'Opći dio'!$L$6:$U$136,10,FALSE))</f>
        <v/>
      </c>
      <c r="B218" s="145" t="str">
        <f>IF(C218="","",VLOOKUP('Opći dio'!$C$3,'Opći dio'!$L$6:$U$136,9,FALSE))</f>
        <v/>
      </c>
      <c r="C218" s="151"/>
      <c r="D218" s="146" t="str">
        <f t="shared" si="28"/>
        <v/>
      </c>
      <c r="E218" s="151"/>
      <c r="F218" s="146" t="str">
        <f t="shared" si="29"/>
        <v/>
      </c>
      <c r="G218" s="186"/>
      <c r="H218" s="146" t="str">
        <f t="shared" si="30"/>
        <v/>
      </c>
      <c r="I218" s="185"/>
      <c r="J218" s="185"/>
      <c r="K218" s="185"/>
      <c r="M218" s="141" t="str">
        <f t="shared" si="31"/>
        <v/>
      </c>
      <c r="N218" s="141" t="str">
        <f t="shared" si="32"/>
        <v/>
      </c>
    </row>
    <row r="219" spans="1:14">
      <c r="A219" s="145" t="str">
        <f>IF(C219="","",VLOOKUP('Opći dio'!$C$3,'Opći dio'!$L$6:$U$136,10,FALSE))</f>
        <v/>
      </c>
      <c r="B219" s="145" t="str">
        <f>IF(C219="","",VLOOKUP('Opći dio'!$C$3,'Opći dio'!$L$6:$U$136,9,FALSE))</f>
        <v/>
      </c>
      <c r="C219" s="151"/>
      <c r="D219" s="146" t="str">
        <f t="shared" si="28"/>
        <v/>
      </c>
      <c r="E219" s="151"/>
      <c r="F219" s="146" t="str">
        <f t="shared" si="29"/>
        <v/>
      </c>
      <c r="G219" s="186"/>
      <c r="H219" s="146" t="str">
        <f t="shared" si="30"/>
        <v/>
      </c>
      <c r="I219" s="185"/>
      <c r="J219" s="185"/>
      <c r="K219" s="185"/>
      <c r="M219" s="141" t="str">
        <f t="shared" si="31"/>
        <v/>
      </c>
      <c r="N219" s="141" t="str">
        <f t="shared" si="32"/>
        <v/>
      </c>
    </row>
    <row r="220" spans="1:14">
      <c r="A220" s="145" t="str">
        <f>IF(C220="","",VLOOKUP('Opći dio'!$C$3,'Opći dio'!$L$6:$U$136,10,FALSE))</f>
        <v/>
      </c>
      <c r="B220" s="145" t="str">
        <f>IF(C220="","",VLOOKUP('Opći dio'!$C$3,'Opći dio'!$L$6:$U$136,9,FALSE))</f>
        <v/>
      </c>
      <c r="C220" s="151"/>
      <c r="D220" s="146" t="str">
        <f t="shared" si="28"/>
        <v/>
      </c>
      <c r="E220" s="151"/>
      <c r="F220" s="146" t="str">
        <f t="shared" si="29"/>
        <v/>
      </c>
      <c r="G220" s="186"/>
      <c r="H220" s="146" t="str">
        <f t="shared" si="30"/>
        <v/>
      </c>
      <c r="I220" s="185"/>
      <c r="J220" s="185"/>
      <c r="K220" s="185"/>
      <c r="M220" s="141" t="str">
        <f t="shared" si="31"/>
        <v/>
      </c>
      <c r="N220" s="141" t="str">
        <f t="shared" si="32"/>
        <v/>
      </c>
    </row>
    <row r="221" spans="1:14">
      <c r="A221" s="145" t="str">
        <f>IF(C221="","",VLOOKUP('Opći dio'!$C$3,'Opći dio'!$L$6:$U$136,10,FALSE))</f>
        <v/>
      </c>
      <c r="B221" s="145" t="str">
        <f>IF(C221="","",VLOOKUP('Opći dio'!$C$3,'Opći dio'!$L$6:$U$136,9,FALSE))</f>
        <v/>
      </c>
      <c r="C221" s="151"/>
      <c r="D221" s="146" t="str">
        <f t="shared" si="28"/>
        <v/>
      </c>
      <c r="E221" s="151"/>
      <c r="F221" s="146" t="str">
        <f t="shared" si="29"/>
        <v/>
      </c>
      <c r="G221" s="186"/>
      <c r="H221" s="146" t="str">
        <f t="shared" si="30"/>
        <v/>
      </c>
      <c r="I221" s="185"/>
      <c r="J221" s="185"/>
      <c r="K221" s="185"/>
      <c r="M221" s="141" t="str">
        <f t="shared" si="31"/>
        <v/>
      </c>
      <c r="N221" s="141" t="str">
        <f t="shared" si="32"/>
        <v/>
      </c>
    </row>
    <row r="222" spans="1:14">
      <c r="A222" s="145" t="str">
        <f>IF(C222="","",VLOOKUP('Opći dio'!$C$3,'Opći dio'!$L$6:$U$136,10,FALSE))</f>
        <v/>
      </c>
      <c r="B222" s="145" t="str">
        <f>IF(C222="","",VLOOKUP('Opći dio'!$C$3,'Opći dio'!$L$6:$U$136,9,FALSE))</f>
        <v/>
      </c>
      <c r="C222" s="151"/>
      <c r="D222" s="146" t="str">
        <f t="shared" si="28"/>
        <v/>
      </c>
      <c r="E222" s="151"/>
      <c r="F222" s="146" t="str">
        <f t="shared" si="29"/>
        <v/>
      </c>
      <c r="G222" s="186"/>
      <c r="H222" s="146" t="str">
        <f t="shared" si="30"/>
        <v/>
      </c>
      <c r="I222" s="185"/>
      <c r="J222" s="185"/>
      <c r="K222" s="185"/>
      <c r="M222" s="141" t="str">
        <f t="shared" si="31"/>
        <v/>
      </c>
      <c r="N222" s="141" t="str">
        <f t="shared" si="32"/>
        <v/>
      </c>
    </row>
    <row r="223" spans="1:14">
      <c r="A223" s="145" t="str">
        <f>IF(C223="","",VLOOKUP('Opći dio'!$C$3,'Opći dio'!$L$6:$U$136,10,FALSE))</f>
        <v/>
      </c>
      <c r="B223" s="145" t="str">
        <f>IF(C223="","",VLOOKUP('Opći dio'!$C$3,'Opći dio'!$L$6:$U$136,9,FALSE))</f>
        <v/>
      </c>
      <c r="C223" s="151"/>
      <c r="D223" s="146" t="str">
        <f t="shared" si="28"/>
        <v/>
      </c>
      <c r="E223" s="151"/>
      <c r="F223" s="146" t="str">
        <f t="shared" si="29"/>
        <v/>
      </c>
      <c r="G223" s="186"/>
      <c r="H223" s="146" t="str">
        <f t="shared" si="30"/>
        <v/>
      </c>
      <c r="I223" s="185"/>
      <c r="J223" s="185"/>
      <c r="K223" s="185"/>
      <c r="M223" s="141" t="str">
        <f t="shared" si="31"/>
        <v/>
      </c>
      <c r="N223" s="141" t="str">
        <f t="shared" si="32"/>
        <v/>
      </c>
    </row>
    <row r="224" spans="1:14">
      <c r="A224" s="145" t="str">
        <f>IF(C224="","",VLOOKUP('Opći dio'!$C$3,'Opći dio'!$L$6:$U$136,10,FALSE))</f>
        <v/>
      </c>
      <c r="B224" s="145" t="str">
        <f>IF(C224="","",VLOOKUP('Opći dio'!$C$3,'Opći dio'!$L$6:$U$136,9,FALSE))</f>
        <v/>
      </c>
      <c r="C224" s="151"/>
      <c r="D224" s="146" t="str">
        <f t="shared" si="28"/>
        <v/>
      </c>
      <c r="E224" s="151"/>
      <c r="F224" s="146" t="str">
        <f t="shared" si="29"/>
        <v/>
      </c>
      <c r="G224" s="186"/>
      <c r="H224" s="146" t="str">
        <f t="shared" si="30"/>
        <v/>
      </c>
      <c r="I224" s="185"/>
      <c r="J224" s="185"/>
      <c r="K224" s="185"/>
      <c r="M224" s="141" t="str">
        <f t="shared" si="31"/>
        <v/>
      </c>
      <c r="N224" s="141" t="str">
        <f t="shared" si="32"/>
        <v/>
      </c>
    </row>
    <row r="225" spans="1:14">
      <c r="A225" s="145" t="str">
        <f>IF(C225="","",VLOOKUP('Opći dio'!$C$3,'Opći dio'!$L$6:$U$136,10,FALSE))</f>
        <v/>
      </c>
      <c r="B225" s="145" t="str">
        <f>IF(C225="","",VLOOKUP('Opći dio'!$C$3,'Opći dio'!$L$6:$U$136,9,FALSE))</f>
        <v/>
      </c>
      <c r="C225" s="151"/>
      <c r="D225" s="146" t="str">
        <f t="shared" si="28"/>
        <v/>
      </c>
      <c r="E225" s="151"/>
      <c r="F225" s="146" t="str">
        <f t="shared" si="29"/>
        <v/>
      </c>
      <c r="G225" s="186"/>
      <c r="H225" s="146" t="str">
        <f t="shared" si="30"/>
        <v/>
      </c>
      <c r="I225" s="185"/>
      <c r="J225" s="185"/>
      <c r="K225" s="185"/>
      <c r="M225" s="141" t="str">
        <f t="shared" si="31"/>
        <v/>
      </c>
      <c r="N225" s="141" t="str">
        <f t="shared" si="32"/>
        <v/>
      </c>
    </row>
    <row r="226" spans="1:14">
      <c r="A226" s="145" t="str">
        <f>IF(C226="","",VLOOKUP('Opći dio'!$C$3,'Opći dio'!$L$6:$U$136,10,FALSE))</f>
        <v/>
      </c>
      <c r="B226" s="145" t="str">
        <f>IF(C226="","",VLOOKUP('Opći dio'!$C$3,'Opći dio'!$L$6:$U$136,9,FALSE))</f>
        <v/>
      </c>
      <c r="C226" s="151"/>
      <c r="D226" s="146" t="str">
        <f t="shared" si="28"/>
        <v/>
      </c>
      <c r="E226" s="151"/>
      <c r="F226" s="146" t="str">
        <f t="shared" si="29"/>
        <v/>
      </c>
      <c r="G226" s="186"/>
      <c r="H226" s="146" t="str">
        <f t="shared" si="30"/>
        <v/>
      </c>
      <c r="I226" s="185"/>
      <c r="J226" s="185"/>
      <c r="K226" s="185"/>
      <c r="M226" s="141" t="str">
        <f t="shared" si="31"/>
        <v/>
      </c>
      <c r="N226" s="141" t="str">
        <f t="shared" si="32"/>
        <v/>
      </c>
    </row>
    <row r="227" spans="1:14">
      <c r="A227" s="145" t="str">
        <f>IF(C227="","",VLOOKUP('Opći dio'!$C$3,'Opći dio'!$L$6:$U$136,10,FALSE))</f>
        <v/>
      </c>
      <c r="B227" s="145" t="str">
        <f>IF(C227="","",VLOOKUP('Opći dio'!$C$3,'Opći dio'!$L$6:$U$136,9,FALSE))</f>
        <v/>
      </c>
      <c r="C227" s="151"/>
      <c r="D227" s="146" t="str">
        <f t="shared" si="28"/>
        <v/>
      </c>
      <c r="E227" s="151"/>
      <c r="F227" s="146" t="str">
        <f t="shared" si="29"/>
        <v/>
      </c>
      <c r="G227" s="186"/>
      <c r="H227" s="146" t="str">
        <f t="shared" si="30"/>
        <v/>
      </c>
      <c r="I227" s="185"/>
      <c r="J227" s="185"/>
      <c r="K227" s="185"/>
      <c r="M227" s="141" t="str">
        <f t="shared" si="31"/>
        <v/>
      </c>
      <c r="N227" s="141" t="str">
        <f t="shared" si="32"/>
        <v/>
      </c>
    </row>
    <row r="228" spans="1:14">
      <c r="A228" s="145" t="str">
        <f>IF(C228="","",VLOOKUP('Opći dio'!$C$3,'Opći dio'!$L$6:$U$136,10,FALSE))</f>
        <v/>
      </c>
      <c r="B228" s="145" t="str">
        <f>IF(C228="","",VLOOKUP('Opći dio'!$C$3,'Opći dio'!$L$6:$U$136,9,FALSE))</f>
        <v/>
      </c>
      <c r="C228" s="151"/>
      <c r="D228" s="146" t="str">
        <f t="shared" si="28"/>
        <v/>
      </c>
      <c r="E228" s="151"/>
      <c r="F228" s="146" t="str">
        <f t="shared" si="29"/>
        <v/>
      </c>
      <c r="G228" s="186"/>
      <c r="H228" s="146" t="str">
        <f t="shared" si="30"/>
        <v/>
      </c>
      <c r="I228" s="185"/>
      <c r="J228" s="185"/>
      <c r="K228" s="185"/>
      <c r="M228" s="141" t="str">
        <f t="shared" si="31"/>
        <v/>
      </c>
      <c r="N228" s="141" t="str">
        <f t="shared" si="32"/>
        <v/>
      </c>
    </row>
    <row r="229" spans="1:14">
      <c r="A229" s="145" t="str">
        <f>IF(C229="","",VLOOKUP('Opći dio'!$C$3,'Opći dio'!$L$6:$U$136,10,FALSE))</f>
        <v/>
      </c>
      <c r="B229" s="145" t="str">
        <f>IF(C229="","",VLOOKUP('Opći dio'!$C$3,'Opći dio'!$L$6:$U$136,9,FALSE))</f>
        <v/>
      </c>
      <c r="C229" s="151"/>
      <c r="D229" s="146" t="str">
        <f t="shared" si="28"/>
        <v/>
      </c>
      <c r="E229" s="151"/>
      <c r="F229" s="146" t="str">
        <f t="shared" si="29"/>
        <v/>
      </c>
      <c r="G229" s="186"/>
      <c r="H229" s="146" t="str">
        <f t="shared" si="30"/>
        <v/>
      </c>
      <c r="I229" s="185"/>
      <c r="J229" s="185"/>
      <c r="K229" s="185"/>
      <c r="M229" s="141" t="str">
        <f t="shared" si="31"/>
        <v/>
      </c>
      <c r="N229" s="141" t="str">
        <f t="shared" si="32"/>
        <v/>
      </c>
    </row>
    <row r="230" spans="1:14">
      <c r="A230" s="145" t="str">
        <f>IF(C230="","",VLOOKUP('Opći dio'!$C$3,'Opći dio'!$L$6:$U$136,10,FALSE))</f>
        <v/>
      </c>
      <c r="B230" s="145" t="str">
        <f>IF(C230="","",VLOOKUP('Opći dio'!$C$3,'Opći dio'!$L$6:$U$136,9,FALSE))</f>
        <v/>
      </c>
      <c r="C230" s="151"/>
      <c r="D230" s="146" t="str">
        <f t="shared" si="28"/>
        <v/>
      </c>
      <c r="E230" s="151"/>
      <c r="F230" s="146" t="str">
        <f t="shared" si="29"/>
        <v/>
      </c>
      <c r="G230" s="186"/>
      <c r="H230" s="146" t="str">
        <f t="shared" si="30"/>
        <v/>
      </c>
      <c r="I230" s="185"/>
      <c r="J230" s="185"/>
      <c r="K230" s="185"/>
      <c r="M230" s="141" t="str">
        <f t="shared" si="31"/>
        <v/>
      </c>
      <c r="N230" s="141" t="str">
        <f t="shared" si="32"/>
        <v/>
      </c>
    </row>
    <row r="231" spans="1:14">
      <c r="A231" s="145" t="str">
        <f>IF(C231="","",VLOOKUP('Opći dio'!$C$3,'Opći dio'!$L$6:$U$136,10,FALSE))</f>
        <v/>
      </c>
      <c r="B231" s="145" t="str">
        <f>IF(C231="","",VLOOKUP('Opći dio'!$C$3,'Opći dio'!$L$6:$U$136,9,FALSE))</f>
        <v/>
      </c>
      <c r="C231" s="151"/>
      <c r="D231" s="146" t="str">
        <f t="shared" si="28"/>
        <v/>
      </c>
      <c r="E231" s="151"/>
      <c r="F231" s="146" t="str">
        <f t="shared" si="29"/>
        <v/>
      </c>
      <c r="G231" s="186"/>
      <c r="H231" s="146" t="str">
        <f t="shared" si="30"/>
        <v/>
      </c>
      <c r="I231" s="185"/>
      <c r="J231" s="185"/>
      <c r="K231" s="185"/>
      <c r="M231" s="141" t="str">
        <f t="shared" si="31"/>
        <v/>
      </c>
      <c r="N231" s="141" t="str">
        <f t="shared" si="32"/>
        <v/>
      </c>
    </row>
    <row r="232" spans="1:14">
      <c r="A232" s="145" t="str">
        <f>IF(C232="","",VLOOKUP('Opći dio'!$C$3,'Opći dio'!$L$6:$U$136,10,FALSE))</f>
        <v/>
      </c>
      <c r="B232" s="145" t="str">
        <f>IF(C232="","",VLOOKUP('Opći dio'!$C$3,'Opći dio'!$L$6:$U$136,9,FALSE))</f>
        <v/>
      </c>
      <c r="C232" s="151"/>
      <c r="D232" s="146" t="str">
        <f t="shared" si="28"/>
        <v/>
      </c>
      <c r="E232" s="151"/>
      <c r="F232" s="146" t="str">
        <f t="shared" si="29"/>
        <v/>
      </c>
      <c r="G232" s="186"/>
      <c r="H232" s="146" t="str">
        <f t="shared" si="30"/>
        <v/>
      </c>
      <c r="I232" s="185"/>
      <c r="J232" s="185"/>
      <c r="K232" s="185"/>
      <c r="M232" s="141" t="str">
        <f t="shared" si="31"/>
        <v/>
      </c>
      <c r="N232" s="141" t="str">
        <f t="shared" si="32"/>
        <v/>
      </c>
    </row>
    <row r="233" spans="1:14">
      <c r="A233" s="145" t="str">
        <f>IF(C233="","",VLOOKUP('Opći dio'!$C$3,'Opći dio'!$L$6:$U$136,10,FALSE))</f>
        <v/>
      </c>
      <c r="B233" s="145" t="str">
        <f>IF(C233="","",VLOOKUP('Opći dio'!$C$3,'Opći dio'!$L$6:$U$136,9,FALSE))</f>
        <v/>
      </c>
      <c r="C233" s="151"/>
      <c r="D233" s="146" t="str">
        <f t="shared" si="28"/>
        <v/>
      </c>
      <c r="E233" s="151"/>
      <c r="F233" s="146" t="str">
        <f t="shared" si="29"/>
        <v/>
      </c>
      <c r="G233" s="186"/>
      <c r="H233" s="146" t="str">
        <f t="shared" si="30"/>
        <v/>
      </c>
      <c r="I233" s="185"/>
      <c r="J233" s="185"/>
      <c r="K233" s="185"/>
      <c r="M233" s="141" t="str">
        <f t="shared" si="31"/>
        <v/>
      </c>
      <c r="N233" s="141" t="str">
        <f t="shared" si="32"/>
        <v/>
      </c>
    </row>
    <row r="234" spans="1:14">
      <c r="A234" s="145" t="str">
        <f>IF(C234="","",VLOOKUP('Opći dio'!$C$3,'Opći dio'!$L$6:$U$136,10,FALSE))</f>
        <v/>
      </c>
      <c r="B234" s="145" t="str">
        <f>IF(C234="","",VLOOKUP('Opći dio'!$C$3,'Opći dio'!$L$6:$U$136,9,FALSE))</f>
        <v/>
      </c>
      <c r="C234" s="151"/>
      <c r="D234" s="146" t="str">
        <f t="shared" si="28"/>
        <v/>
      </c>
      <c r="E234" s="151"/>
      <c r="F234" s="146" t="str">
        <f t="shared" si="29"/>
        <v/>
      </c>
      <c r="G234" s="186"/>
      <c r="H234" s="146" t="str">
        <f t="shared" si="30"/>
        <v/>
      </c>
      <c r="I234" s="185"/>
      <c r="J234" s="185"/>
      <c r="K234" s="185"/>
      <c r="M234" s="141" t="str">
        <f t="shared" si="31"/>
        <v/>
      </c>
      <c r="N234" s="141" t="str">
        <f t="shared" si="32"/>
        <v/>
      </c>
    </row>
    <row r="235" spans="1:14">
      <c r="A235" s="145" t="str">
        <f>IF(C235="","",VLOOKUP('Opći dio'!$C$3,'Opći dio'!$L$6:$U$136,10,FALSE))</f>
        <v/>
      </c>
      <c r="B235" s="145" t="str">
        <f>IF(C235="","",VLOOKUP('Opći dio'!$C$3,'Opći dio'!$L$6:$U$136,9,FALSE))</f>
        <v/>
      </c>
      <c r="C235" s="151"/>
      <c r="D235" s="146" t="str">
        <f t="shared" si="28"/>
        <v/>
      </c>
      <c r="E235" s="151"/>
      <c r="F235" s="146" t="str">
        <f t="shared" si="29"/>
        <v/>
      </c>
      <c r="G235" s="186"/>
      <c r="H235" s="146" t="str">
        <f t="shared" si="30"/>
        <v/>
      </c>
      <c r="I235" s="185"/>
      <c r="J235" s="185"/>
      <c r="K235" s="185"/>
      <c r="M235" s="141" t="str">
        <f t="shared" si="31"/>
        <v/>
      </c>
      <c r="N235" s="141" t="str">
        <f t="shared" si="32"/>
        <v/>
      </c>
    </row>
    <row r="236" spans="1:14">
      <c r="A236" s="145" t="str">
        <f>IF(C236="","",VLOOKUP('Opći dio'!$C$3,'Opći dio'!$L$6:$U$136,10,FALSE))</f>
        <v/>
      </c>
      <c r="B236" s="145" t="str">
        <f>IF(C236="","",VLOOKUP('Opći dio'!$C$3,'Opći dio'!$L$6:$U$136,9,FALSE))</f>
        <v/>
      </c>
      <c r="C236" s="151"/>
      <c r="D236" s="146" t="str">
        <f t="shared" si="28"/>
        <v/>
      </c>
      <c r="E236" s="151"/>
      <c r="F236" s="146" t="str">
        <f t="shared" si="29"/>
        <v/>
      </c>
      <c r="G236" s="186"/>
      <c r="H236" s="146" t="str">
        <f t="shared" si="30"/>
        <v/>
      </c>
      <c r="I236" s="185"/>
      <c r="J236" s="185"/>
      <c r="K236" s="185"/>
      <c r="M236" s="141" t="str">
        <f t="shared" si="31"/>
        <v/>
      </c>
      <c r="N236" s="141" t="str">
        <f t="shared" si="32"/>
        <v/>
      </c>
    </row>
    <row r="237" spans="1:14">
      <c r="A237" s="145" t="str">
        <f>IF(C237="","",VLOOKUP('Opći dio'!$C$3,'Opći dio'!$L$6:$U$136,10,FALSE))</f>
        <v/>
      </c>
      <c r="B237" s="145" t="str">
        <f>IF(C237="","",VLOOKUP('Opći dio'!$C$3,'Opći dio'!$L$6:$U$136,9,FALSE))</f>
        <v/>
      </c>
      <c r="C237" s="151"/>
      <c r="D237" s="146" t="str">
        <f t="shared" si="28"/>
        <v/>
      </c>
      <c r="E237" s="151"/>
      <c r="F237" s="146" t="str">
        <f t="shared" si="29"/>
        <v/>
      </c>
      <c r="G237" s="186"/>
      <c r="H237" s="146" t="str">
        <f t="shared" si="30"/>
        <v/>
      </c>
      <c r="I237" s="185"/>
      <c r="J237" s="185"/>
      <c r="K237" s="185"/>
      <c r="M237" s="141" t="str">
        <f t="shared" si="31"/>
        <v/>
      </c>
      <c r="N237" s="141" t="str">
        <f t="shared" si="32"/>
        <v/>
      </c>
    </row>
    <row r="238" spans="1:14">
      <c r="A238" s="145" t="str">
        <f>IF(C238="","",VLOOKUP('Opći dio'!$C$3,'Opći dio'!$L$6:$U$136,10,FALSE))</f>
        <v/>
      </c>
      <c r="B238" s="145" t="str">
        <f>IF(C238="","",VLOOKUP('Opći dio'!$C$3,'Opći dio'!$L$6:$U$136,9,FALSE))</f>
        <v/>
      </c>
      <c r="C238" s="151"/>
      <c r="D238" s="146" t="str">
        <f t="shared" si="28"/>
        <v/>
      </c>
      <c r="E238" s="151"/>
      <c r="F238" s="146" t="str">
        <f t="shared" si="29"/>
        <v/>
      </c>
      <c r="G238" s="186"/>
      <c r="H238" s="146" t="str">
        <f t="shared" si="30"/>
        <v/>
      </c>
      <c r="I238" s="185"/>
      <c r="J238" s="185"/>
      <c r="K238" s="185"/>
      <c r="M238" s="141" t="str">
        <f t="shared" si="31"/>
        <v/>
      </c>
      <c r="N238" s="141" t="str">
        <f t="shared" si="32"/>
        <v/>
      </c>
    </row>
    <row r="239" spans="1:14">
      <c r="A239" s="145" t="str">
        <f>IF(C239="","",VLOOKUP('Opći dio'!$C$3,'Opći dio'!$L$6:$U$136,10,FALSE))</f>
        <v/>
      </c>
      <c r="B239" s="145" t="str">
        <f>IF(C239="","",VLOOKUP('Opći dio'!$C$3,'Opći dio'!$L$6:$U$136,9,FALSE))</f>
        <v/>
      </c>
      <c r="C239" s="151"/>
      <c r="D239" s="146" t="str">
        <f t="shared" si="28"/>
        <v/>
      </c>
      <c r="E239" s="151"/>
      <c r="F239" s="146" t="str">
        <f t="shared" si="29"/>
        <v/>
      </c>
      <c r="G239" s="186"/>
      <c r="H239" s="146" t="str">
        <f t="shared" si="30"/>
        <v/>
      </c>
      <c r="I239" s="185"/>
      <c r="J239" s="185"/>
      <c r="K239" s="185"/>
      <c r="M239" s="141" t="str">
        <f t="shared" si="31"/>
        <v/>
      </c>
      <c r="N239" s="141" t="str">
        <f t="shared" si="32"/>
        <v/>
      </c>
    </row>
    <row r="240" spans="1:14">
      <c r="A240" s="145" t="str">
        <f>IF(C240="","",VLOOKUP('Opći dio'!$C$3,'Opći dio'!$L$6:$U$136,10,FALSE))</f>
        <v/>
      </c>
      <c r="B240" s="145" t="str">
        <f>IF(C240="","",VLOOKUP('Opći dio'!$C$3,'Opći dio'!$L$6:$U$136,9,FALSE))</f>
        <v/>
      </c>
      <c r="C240" s="151"/>
      <c r="D240" s="146" t="str">
        <f t="shared" si="28"/>
        <v/>
      </c>
      <c r="E240" s="151"/>
      <c r="F240" s="146" t="str">
        <f t="shared" si="29"/>
        <v/>
      </c>
      <c r="G240" s="186"/>
      <c r="H240" s="146" t="str">
        <f t="shared" si="30"/>
        <v/>
      </c>
      <c r="I240" s="185"/>
      <c r="J240" s="185"/>
      <c r="K240" s="185"/>
      <c r="M240" s="141" t="str">
        <f t="shared" si="31"/>
        <v/>
      </c>
      <c r="N240" s="141" t="str">
        <f t="shared" si="32"/>
        <v/>
      </c>
    </row>
    <row r="241" spans="1:14">
      <c r="A241" s="145" t="str">
        <f>IF(C241="","",VLOOKUP('Opći dio'!$C$3,'Opći dio'!$L$6:$U$136,10,FALSE))</f>
        <v/>
      </c>
      <c r="B241" s="145" t="str">
        <f>IF(C241="","",VLOOKUP('Opći dio'!$C$3,'Opći dio'!$L$6:$U$136,9,FALSE))</f>
        <v/>
      </c>
      <c r="C241" s="151"/>
      <c r="D241" s="146" t="str">
        <f t="shared" si="28"/>
        <v/>
      </c>
      <c r="E241" s="151"/>
      <c r="F241" s="146" t="str">
        <f t="shared" si="29"/>
        <v/>
      </c>
      <c r="G241" s="186"/>
      <c r="H241" s="146" t="str">
        <f t="shared" si="30"/>
        <v/>
      </c>
      <c r="I241" s="185"/>
      <c r="J241" s="185"/>
      <c r="K241" s="185"/>
      <c r="M241" s="141" t="str">
        <f t="shared" si="31"/>
        <v/>
      </c>
      <c r="N241" s="141" t="str">
        <f t="shared" si="32"/>
        <v/>
      </c>
    </row>
    <row r="242" spans="1:14">
      <c r="A242" s="145" t="str">
        <f>IF(C242="","",VLOOKUP('Opći dio'!$C$3,'Opći dio'!$L$6:$U$136,10,FALSE))</f>
        <v/>
      </c>
      <c r="B242" s="145" t="str">
        <f>IF(C242="","",VLOOKUP('Opći dio'!$C$3,'Opći dio'!$L$6:$U$136,9,FALSE))</f>
        <v/>
      </c>
      <c r="C242" s="151"/>
      <c r="D242" s="146" t="str">
        <f t="shared" si="28"/>
        <v/>
      </c>
      <c r="E242" s="151"/>
      <c r="F242" s="146" t="str">
        <f t="shared" si="29"/>
        <v/>
      </c>
      <c r="G242" s="186"/>
      <c r="H242" s="146" t="str">
        <f t="shared" si="30"/>
        <v/>
      </c>
      <c r="I242" s="185"/>
      <c r="J242" s="185"/>
      <c r="K242" s="185"/>
      <c r="M242" s="141" t="str">
        <f t="shared" si="31"/>
        <v/>
      </c>
      <c r="N242" s="141" t="str">
        <f t="shared" si="32"/>
        <v/>
      </c>
    </row>
    <row r="243" spans="1:14">
      <c r="A243" s="145" t="str">
        <f>IF(C243="","",VLOOKUP('Opći dio'!$C$3,'Opći dio'!$L$6:$U$136,10,FALSE))</f>
        <v/>
      </c>
      <c r="B243" s="145" t="str">
        <f>IF(C243="","",VLOOKUP('Opći dio'!$C$3,'Opći dio'!$L$6:$U$136,9,FALSE))</f>
        <v/>
      </c>
      <c r="C243" s="151"/>
      <c r="D243" s="146" t="str">
        <f t="shared" si="28"/>
        <v/>
      </c>
      <c r="E243" s="151"/>
      <c r="F243" s="146" t="str">
        <f t="shared" si="29"/>
        <v/>
      </c>
      <c r="G243" s="186"/>
      <c r="H243" s="146" t="str">
        <f t="shared" si="30"/>
        <v/>
      </c>
      <c r="I243" s="185"/>
      <c r="J243" s="185"/>
      <c r="K243" s="185"/>
      <c r="M243" s="141" t="str">
        <f t="shared" si="31"/>
        <v/>
      </c>
      <c r="N243" s="141" t="str">
        <f t="shared" si="32"/>
        <v/>
      </c>
    </row>
    <row r="244" spans="1:14">
      <c r="A244" s="145" t="str">
        <f>IF(C244="","",VLOOKUP('Opći dio'!$C$3,'Opći dio'!$L$6:$U$136,10,FALSE))</f>
        <v/>
      </c>
      <c r="B244" s="145" t="str">
        <f>IF(C244="","",VLOOKUP('Opći dio'!$C$3,'Opći dio'!$L$6:$U$136,9,FALSE))</f>
        <v/>
      </c>
      <c r="C244" s="151"/>
      <c r="D244" s="146" t="str">
        <f t="shared" si="28"/>
        <v/>
      </c>
      <c r="E244" s="151"/>
      <c r="F244" s="146" t="str">
        <f t="shared" si="29"/>
        <v/>
      </c>
      <c r="G244" s="186"/>
      <c r="H244" s="146" t="str">
        <f t="shared" si="30"/>
        <v/>
      </c>
      <c r="I244" s="185"/>
      <c r="J244" s="185"/>
      <c r="K244" s="185"/>
      <c r="M244" s="141" t="str">
        <f t="shared" si="31"/>
        <v/>
      </c>
      <c r="N244" s="141" t="str">
        <f t="shared" si="32"/>
        <v/>
      </c>
    </row>
    <row r="245" spans="1:14">
      <c r="A245" s="145" t="str">
        <f>IF(C245="","",VLOOKUP('Opći dio'!$C$3,'Opći dio'!$L$6:$U$136,10,FALSE))</f>
        <v/>
      </c>
      <c r="B245" s="145" t="str">
        <f>IF(C245="","",VLOOKUP('Opći dio'!$C$3,'Opći dio'!$L$6:$U$136,9,FALSE))</f>
        <v/>
      </c>
      <c r="C245" s="151"/>
      <c r="D245" s="146" t="str">
        <f t="shared" si="28"/>
        <v/>
      </c>
      <c r="E245" s="151"/>
      <c r="F245" s="146" t="str">
        <f t="shared" si="29"/>
        <v/>
      </c>
      <c r="G245" s="186"/>
      <c r="H245" s="146" t="str">
        <f t="shared" si="30"/>
        <v/>
      </c>
      <c r="I245" s="185"/>
      <c r="J245" s="185"/>
      <c r="K245" s="185"/>
      <c r="M245" s="141" t="str">
        <f t="shared" si="31"/>
        <v/>
      </c>
      <c r="N245" s="141" t="str">
        <f t="shared" si="32"/>
        <v/>
      </c>
    </row>
    <row r="246" spans="1:14">
      <c r="A246" s="145" t="str">
        <f>IF(C246="","",VLOOKUP('Opći dio'!$C$3,'Opći dio'!$L$6:$U$136,10,FALSE))</f>
        <v/>
      </c>
      <c r="B246" s="145" t="str">
        <f>IF(C246="","",VLOOKUP('Opći dio'!$C$3,'Opći dio'!$L$6:$U$136,9,FALSE))</f>
        <v/>
      </c>
      <c r="C246" s="151"/>
      <c r="D246" s="146" t="str">
        <f t="shared" si="28"/>
        <v/>
      </c>
      <c r="E246" s="151"/>
      <c r="F246" s="146" t="str">
        <f t="shared" si="29"/>
        <v/>
      </c>
      <c r="G246" s="186"/>
      <c r="H246" s="146" t="str">
        <f t="shared" si="30"/>
        <v/>
      </c>
      <c r="I246" s="185"/>
      <c r="J246" s="185"/>
      <c r="K246" s="185"/>
      <c r="M246" s="141" t="str">
        <f t="shared" si="31"/>
        <v/>
      </c>
      <c r="N246" s="141" t="str">
        <f t="shared" si="32"/>
        <v/>
      </c>
    </row>
    <row r="247" spans="1:14">
      <c r="A247" s="145" t="str">
        <f>IF(C247="","",VLOOKUP('Opći dio'!$C$3,'Opći dio'!$L$6:$U$136,10,FALSE))</f>
        <v/>
      </c>
      <c r="B247" s="145" t="str">
        <f>IF(C247="","",VLOOKUP('Opći dio'!$C$3,'Opći dio'!$L$6:$U$136,9,FALSE))</f>
        <v/>
      </c>
      <c r="C247" s="151"/>
      <c r="D247" s="146" t="str">
        <f t="shared" si="28"/>
        <v/>
      </c>
      <c r="E247" s="151"/>
      <c r="F247" s="146" t="str">
        <f t="shared" si="29"/>
        <v/>
      </c>
      <c r="G247" s="186"/>
      <c r="H247" s="146" t="str">
        <f t="shared" si="30"/>
        <v/>
      </c>
      <c r="I247" s="185"/>
      <c r="J247" s="185"/>
      <c r="K247" s="185"/>
      <c r="M247" s="141" t="str">
        <f t="shared" si="31"/>
        <v/>
      </c>
      <c r="N247" s="141" t="str">
        <f t="shared" si="32"/>
        <v/>
      </c>
    </row>
    <row r="248" spans="1:14">
      <c r="A248" s="145" t="str">
        <f>IF(C248="","",VLOOKUP('Opći dio'!$C$3,'Opći dio'!$L$6:$U$136,10,FALSE))</f>
        <v/>
      </c>
      <c r="B248" s="145" t="str">
        <f>IF(C248="","",VLOOKUP('Opći dio'!$C$3,'Opći dio'!$L$6:$U$136,9,FALSE))</f>
        <v/>
      </c>
      <c r="C248" s="151"/>
      <c r="D248" s="146" t="str">
        <f t="shared" si="28"/>
        <v/>
      </c>
      <c r="E248" s="151"/>
      <c r="F248" s="146" t="str">
        <f t="shared" si="29"/>
        <v/>
      </c>
      <c r="G248" s="186"/>
      <c r="H248" s="146" t="str">
        <f t="shared" si="30"/>
        <v/>
      </c>
      <c r="I248" s="185"/>
      <c r="J248" s="185"/>
      <c r="K248" s="185"/>
      <c r="M248" s="141" t="str">
        <f t="shared" si="31"/>
        <v/>
      </c>
      <c r="N248" s="141" t="str">
        <f t="shared" si="32"/>
        <v/>
      </c>
    </row>
    <row r="249" spans="1:14">
      <c r="A249" s="145" t="str">
        <f>IF(C249="","",VLOOKUP('Opći dio'!$C$3,'Opći dio'!$L$6:$U$136,10,FALSE))</f>
        <v/>
      </c>
      <c r="B249" s="145" t="str">
        <f>IF(C249="","",VLOOKUP('Opći dio'!$C$3,'Opći dio'!$L$6:$U$136,9,FALSE))</f>
        <v/>
      </c>
      <c r="C249" s="151"/>
      <c r="D249" s="146" t="str">
        <f t="shared" si="28"/>
        <v/>
      </c>
      <c r="E249" s="151"/>
      <c r="F249" s="146" t="str">
        <f t="shared" si="29"/>
        <v/>
      </c>
      <c r="G249" s="186"/>
      <c r="H249" s="146" t="str">
        <f t="shared" si="30"/>
        <v/>
      </c>
      <c r="I249" s="185"/>
      <c r="J249" s="185"/>
      <c r="K249" s="185"/>
      <c r="M249" s="141" t="str">
        <f t="shared" si="31"/>
        <v/>
      </c>
      <c r="N249" s="141" t="str">
        <f t="shared" si="32"/>
        <v/>
      </c>
    </row>
    <row r="250" spans="1:14">
      <c r="A250" s="145" t="str">
        <f>IF(C250="","",VLOOKUP('Opći dio'!$C$3,'Opći dio'!$L$6:$U$136,10,FALSE))</f>
        <v/>
      </c>
      <c r="B250" s="145" t="str">
        <f>IF(C250="","",VLOOKUP('Opći dio'!$C$3,'Opći dio'!$L$6:$U$136,9,FALSE))</f>
        <v/>
      </c>
      <c r="C250" s="151"/>
      <c r="D250" s="146" t="str">
        <f t="shared" si="28"/>
        <v/>
      </c>
      <c r="E250" s="151"/>
      <c r="F250" s="146" t="str">
        <f t="shared" si="29"/>
        <v/>
      </c>
      <c r="G250" s="186"/>
      <c r="H250" s="146" t="str">
        <f t="shared" si="30"/>
        <v/>
      </c>
      <c r="I250" s="185"/>
      <c r="J250" s="185"/>
      <c r="K250" s="185"/>
      <c r="M250" s="141" t="str">
        <f t="shared" si="31"/>
        <v/>
      </c>
      <c r="N250" s="141" t="str">
        <f t="shared" si="32"/>
        <v/>
      </c>
    </row>
    <row r="251" spans="1:14">
      <c r="A251" s="145" t="str">
        <f>IF(C251="","",VLOOKUP('Opći dio'!$C$3,'Opći dio'!$L$6:$U$136,10,FALSE))</f>
        <v/>
      </c>
      <c r="B251" s="145" t="str">
        <f>IF(C251="","",VLOOKUP('Opći dio'!$C$3,'Opći dio'!$L$6:$U$136,9,FALSE))</f>
        <v/>
      </c>
      <c r="C251" s="151"/>
      <c r="D251" s="146" t="str">
        <f t="shared" si="28"/>
        <v/>
      </c>
      <c r="E251" s="151"/>
      <c r="F251" s="146" t="str">
        <f t="shared" si="29"/>
        <v/>
      </c>
      <c r="G251" s="186"/>
      <c r="H251" s="146" t="str">
        <f t="shared" si="30"/>
        <v/>
      </c>
      <c r="I251" s="185"/>
      <c r="J251" s="185"/>
      <c r="K251" s="185"/>
      <c r="M251" s="141" t="str">
        <f t="shared" si="31"/>
        <v/>
      </c>
      <c r="N251" s="141" t="str">
        <f t="shared" si="32"/>
        <v/>
      </c>
    </row>
    <row r="252" spans="1:14">
      <c r="A252" s="145" t="str">
        <f>IF(C252="","",VLOOKUP('Opći dio'!$C$3,'Opći dio'!$L$6:$U$136,10,FALSE))</f>
        <v/>
      </c>
      <c r="B252" s="145" t="str">
        <f>IF(C252="","",VLOOKUP('Opći dio'!$C$3,'Opći dio'!$L$6:$U$136,9,FALSE))</f>
        <v/>
      </c>
      <c r="C252" s="151"/>
      <c r="D252" s="146" t="str">
        <f t="shared" si="28"/>
        <v/>
      </c>
      <c r="E252" s="151"/>
      <c r="F252" s="146" t="str">
        <f t="shared" si="29"/>
        <v/>
      </c>
      <c r="G252" s="186"/>
      <c r="H252" s="146" t="str">
        <f t="shared" si="30"/>
        <v/>
      </c>
      <c r="I252" s="185"/>
      <c r="J252" s="185"/>
      <c r="K252" s="185"/>
      <c r="M252" s="141" t="str">
        <f t="shared" si="31"/>
        <v/>
      </c>
      <c r="N252" s="141" t="str">
        <f t="shared" si="32"/>
        <v/>
      </c>
    </row>
    <row r="253" spans="1:14">
      <c r="A253" s="145" t="str">
        <f>IF(C253="","",VLOOKUP('Opći dio'!$C$3,'Opći dio'!$L$6:$U$136,10,FALSE))</f>
        <v/>
      </c>
      <c r="B253" s="145" t="str">
        <f>IF(C253="","",VLOOKUP('Opći dio'!$C$3,'Opći dio'!$L$6:$U$136,9,FALSE))</f>
        <v/>
      </c>
      <c r="C253" s="151"/>
      <c r="D253" s="146" t="str">
        <f t="shared" si="28"/>
        <v/>
      </c>
      <c r="E253" s="151"/>
      <c r="F253" s="146" t="str">
        <f t="shared" si="29"/>
        <v/>
      </c>
      <c r="G253" s="186"/>
      <c r="H253" s="146" t="str">
        <f t="shared" si="30"/>
        <v/>
      </c>
      <c r="I253" s="185"/>
      <c r="J253" s="185"/>
      <c r="K253" s="185"/>
      <c r="M253" s="141" t="str">
        <f t="shared" si="31"/>
        <v/>
      </c>
      <c r="N253" s="141" t="str">
        <f t="shared" si="32"/>
        <v/>
      </c>
    </row>
    <row r="254" spans="1:14">
      <c r="A254" s="145" t="str">
        <f>IF(C254="","",VLOOKUP('Opći dio'!$C$3,'Opći dio'!$L$6:$U$136,10,FALSE))</f>
        <v/>
      </c>
      <c r="B254" s="145" t="str">
        <f>IF(C254="","",VLOOKUP('Opći dio'!$C$3,'Opći dio'!$L$6:$U$136,9,FALSE))</f>
        <v/>
      </c>
      <c r="C254" s="151"/>
      <c r="D254" s="146" t="str">
        <f t="shared" si="28"/>
        <v/>
      </c>
      <c r="E254" s="151"/>
      <c r="F254" s="146" t="str">
        <f t="shared" si="29"/>
        <v/>
      </c>
      <c r="G254" s="186"/>
      <c r="H254" s="146" t="str">
        <f t="shared" si="30"/>
        <v/>
      </c>
      <c r="I254" s="185"/>
      <c r="J254" s="185"/>
      <c r="K254" s="185"/>
      <c r="M254" s="141" t="str">
        <f t="shared" si="31"/>
        <v/>
      </c>
      <c r="N254" s="141" t="str">
        <f t="shared" si="32"/>
        <v/>
      </c>
    </row>
    <row r="255" spans="1:14">
      <c r="A255" s="145" t="str">
        <f>IF(C255="","",VLOOKUP('Opći dio'!$C$3,'Opći dio'!$L$6:$U$136,10,FALSE))</f>
        <v/>
      </c>
      <c r="B255" s="145" t="str">
        <f>IF(C255="","",VLOOKUP('Opći dio'!$C$3,'Opći dio'!$L$6:$U$136,9,FALSE))</f>
        <v/>
      </c>
      <c r="C255" s="151"/>
      <c r="D255" s="146" t="str">
        <f t="shared" si="28"/>
        <v/>
      </c>
      <c r="E255" s="151"/>
      <c r="F255" s="146" t="str">
        <f t="shared" si="29"/>
        <v/>
      </c>
      <c r="G255" s="186"/>
      <c r="H255" s="146" t="str">
        <f t="shared" si="30"/>
        <v/>
      </c>
      <c r="I255" s="185"/>
      <c r="J255" s="185"/>
      <c r="K255" s="185"/>
      <c r="M255" s="141" t="str">
        <f t="shared" si="31"/>
        <v/>
      </c>
      <c r="N255" s="141" t="str">
        <f t="shared" si="32"/>
        <v/>
      </c>
    </row>
    <row r="256" spans="1:14">
      <c r="A256" s="145" t="str">
        <f>IF(C256="","",VLOOKUP('Opći dio'!$C$3,'Opći dio'!$L$6:$U$136,10,FALSE))</f>
        <v/>
      </c>
      <c r="B256" s="145" t="str">
        <f>IF(C256="","",VLOOKUP('Opći dio'!$C$3,'Opći dio'!$L$6:$U$136,9,FALSE))</f>
        <v/>
      </c>
      <c r="C256" s="151"/>
      <c r="D256" s="146" t="str">
        <f t="shared" si="28"/>
        <v/>
      </c>
      <c r="E256" s="151"/>
      <c r="F256" s="146" t="str">
        <f t="shared" si="29"/>
        <v/>
      </c>
      <c r="G256" s="186"/>
      <c r="H256" s="146" t="str">
        <f t="shared" si="30"/>
        <v/>
      </c>
      <c r="I256" s="185"/>
      <c r="J256" s="185"/>
      <c r="K256" s="185"/>
      <c r="M256" s="141" t="str">
        <f t="shared" si="31"/>
        <v/>
      </c>
      <c r="N256" s="141" t="str">
        <f t="shared" si="32"/>
        <v/>
      </c>
    </row>
    <row r="257" spans="1:14">
      <c r="A257" s="145" t="str">
        <f>IF(C257="","",VLOOKUP('Opći dio'!$C$3,'Opći dio'!$L$6:$U$136,10,FALSE))</f>
        <v/>
      </c>
      <c r="B257" s="145" t="str">
        <f>IF(C257="","",VLOOKUP('Opći dio'!$C$3,'Opći dio'!$L$6:$U$136,9,FALSE))</f>
        <v/>
      </c>
      <c r="C257" s="151"/>
      <c r="D257" s="146" t="str">
        <f t="shared" si="28"/>
        <v/>
      </c>
      <c r="E257" s="151"/>
      <c r="F257" s="146" t="str">
        <f t="shared" si="29"/>
        <v/>
      </c>
      <c r="G257" s="186"/>
      <c r="H257" s="146" t="str">
        <f t="shared" si="30"/>
        <v/>
      </c>
      <c r="I257" s="185"/>
      <c r="J257" s="185"/>
      <c r="K257" s="185"/>
      <c r="M257" s="141" t="str">
        <f t="shared" si="31"/>
        <v/>
      </c>
      <c r="N257" s="141" t="str">
        <f t="shared" si="32"/>
        <v/>
      </c>
    </row>
    <row r="258" spans="1:14">
      <c r="A258" s="145" t="str">
        <f>IF(C258="","",VLOOKUP('Opći dio'!$C$3,'Opći dio'!$L$6:$U$136,10,FALSE))</f>
        <v/>
      </c>
      <c r="B258" s="145" t="str">
        <f>IF(C258="","",VLOOKUP('Opći dio'!$C$3,'Opći dio'!$L$6:$U$136,9,FALSE))</f>
        <v/>
      </c>
      <c r="C258" s="151"/>
      <c r="D258" s="146" t="str">
        <f t="shared" si="28"/>
        <v/>
      </c>
      <c r="E258" s="151"/>
      <c r="F258" s="146" t="str">
        <f t="shared" si="29"/>
        <v/>
      </c>
      <c r="G258" s="186"/>
      <c r="H258" s="146" t="str">
        <f t="shared" si="30"/>
        <v/>
      </c>
      <c r="I258" s="185"/>
      <c r="J258" s="185"/>
      <c r="K258" s="185"/>
      <c r="M258" s="141" t="str">
        <f t="shared" si="31"/>
        <v/>
      </c>
      <c r="N258" s="141" t="str">
        <f t="shared" si="32"/>
        <v/>
      </c>
    </row>
    <row r="259" spans="1:14">
      <c r="A259" s="145" t="str">
        <f>IF(C259="","",VLOOKUP('Opći dio'!$C$3,'Opći dio'!$L$6:$U$136,10,FALSE))</f>
        <v/>
      </c>
      <c r="B259" s="145" t="str">
        <f>IF(C259="","",VLOOKUP('Opći dio'!$C$3,'Opći dio'!$L$6:$U$136,9,FALSE))</f>
        <v/>
      </c>
      <c r="C259" s="151"/>
      <c r="D259" s="146" t="str">
        <f t="shared" si="28"/>
        <v/>
      </c>
      <c r="E259" s="151"/>
      <c r="F259" s="146" t="str">
        <f t="shared" si="29"/>
        <v/>
      </c>
      <c r="G259" s="186"/>
      <c r="H259" s="146" t="str">
        <f t="shared" si="30"/>
        <v/>
      </c>
      <c r="I259" s="185"/>
      <c r="J259" s="185"/>
      <c r="K259" s="185"/>
      <c r="M259" s="141" t="str">
        <f t="shared" si="31"/>
        <v/>
      </c>
      <c r="N259" s="141" t="str">
        <f t="shared" si="32"/>
        <v/>
      </c>
    </row>
    <row r="260" spans="1:14">
      <c r="A260" s="145" t="str">
        <f>IF(C260="","",VLOOKUP('Opći dio'!$C$3,'Opći dio'!$L$6:$U$136,10,FALSE))</f>
        <v/>
      </c>
      <c r="B260" s="145" t="str">
        <f>IF(C260="","",VLOOKUP('Opći dio'!$C$3,'Opći dio'!$L$6:$U$136,9,FALSE))</f>
        <v/>
      </c>
      <c r="C260" s="151"/>
      <c r="D260" s="146" t="str">
        <f t="shared" ref="D260:D323" si="33">IFERROR(VLOOKUP(C260,$O$6:$P$23,2,FALSE),"")</f>
        <v/>
      </c>
      <c r="E260" s="151"/>
      <c r="F260" s="146" t="str">
        <f t="shared" ref="F260:F323" si="34">IFERROR(VLOOKUP(E260,$R$5:$T$129,2,FALSE),"")</f>
        <v/>
      </c>
      <c r="G260" s="186"/>
      <c r="H260" s="146" t="str">
        <f t="shared" ref="H260:H323" si="35">IFERROR(VLOOKUP(G260,$X$6:$Y$200,2,FALSE),"")</f>
        <v/>
      </c>
      <c r="I260" s="185"/>
      <c r="J260" s="185"/>
      <c r="K260" s="185"/>
      <c r="M260" s="141" t="str">
        <f t="shared" ref="M260:M323" si="36">LEFT(E260,3)</f>
        <v/>
      </c>
      <c r="N260" s="141" t="str">
        <f t="shared" ref="N260:N323" si="37">LEFT(E260,2)</f>
        <v/>
      </c>
    </row>
    <row r="261" spans="1:14">
      <c r="A261" s="145" t="str">
        <f>IF(C261="","",VLOOKUP('Opći dio'!$C$3,'Opći dio'!$L$6:$U$136,10,FALSE))</f>
        <v/>
      </c>
      <c r="B261" s="145" t="str">
        <f>IF(C261="","",VLOOKUP('Opći dio'!$C$3,'Opći dio'!$L$6:$U$136,9,FALSE))</f>
        <v/>
      </c>
      <c r="C261" s="151"/>
      <c r="D261" s="146" t="str">
        <f t="shared" si="33"/>
        <v/>
      </c>
      <c r="E261" s="151"/>
      <c r="F261" s="146" t="str">
        <f t="shared" si="34"/>
        <v/>
      </c>
      <c r="G261" s="186"/>
      <c r="H261" s="146" t="str">
        <f t="shared" si="35"/>
        <v/>
      </c>
      <c r="I261" s="185"/>
      <c r="J261" s="185"/>
      <c r="K261" s="185"/>
      <c r="M261" s="141" t="str">
        <f t="shared" si="36"/>
        <v/>
      </c>
      <c r="N261" s="141" t="str">
        <f t="shared" si="37"/>
        <v/>
      </c>
    </row>
    <row r="262" spans="1:14">
      <c r="A262" s="145" t="str">
        <f>IF(C262="","",VLOOKUP('Opći dio'!$C$3,'Opći dio'!$L$6:$U$136,10,FALSE))</f>
        <v/>
      </c>
      <c r="B262" s="145" t="str">
        <f>IF(C262="","",VLOOKUP('Opći dio'!$C$3,'Opći dio'!$L$6:$U$136,9,FALSE))</f>
        <v/>
      </c>
      <c r="C262" s="151"/>
      <c r="D262" s="146" t="str">
        <f t="shared" si="33"/>
        <v/>
      </c>
      <c r="E262" s="151"/>
      <c r="F262" s="146" t="str">
        <f t="shared" si="34"/>
        <v/>
      </c>
      <c r="G262" s="186"/>
      <c r="H262" s="146" t="str">
        <f t="shared" si="35"/>
        <v/>
      </c>
      <c r="I262" s="185"/>
      <c r="J262" s="185"/>
      <c r="K262" s="185"/>
      <c r="M262" s="141" t="str">
        <f t="shared" si="36"/>
        <v/>
      </c>
      <c r="N262" s="141" t="str">
        <f t="shared" si="37"/>
        <v/>
      </c>
    </row>
    <row r="263" spans="1:14">
      <c r="A263" s="145" t="str">
        <f>IF(C263="","",VLOOKUP('Opći dio'!$C$3,'Opći dio'!$L$6:$U$136,10,FALSE))</f>
        <v/>
      </c>
      <c r="B263" s="145" t="str">
        <f>IF(C263="","",VLOOKUP('Opći dio'!$C$3,'Opći dio'!$L$6:$U$136,9,FALSE))</f>
        <v/>
      </c>
      <c r="C263" s="151"/>
      <c r="D263" s="146" t="str">
        <f t="shared" si="33"/>
        <v/>
      </c>
      <c r="E263" s="151"/>
      <c r="F263" s="146" t="str">
        <f t="shared" si="34"/>
        <v/>
      </c>
      <c r="G263" s="186"/>
      <c r="H263" s="146" t="str">
        <f t="shared" si="35"/>
        <v/>
      </c>
      <c r="I263" s="185"/>
      <c r="J263" s="185"/>
      <c r="K263" s="185"/>
      <c r="M263" s="141" t="str">
        <f t="shared" si="36"/>
        <v/>
      </c>
      <c r="N263" s="141" t="str">
        <f t="shared" si="37"/>
        <v/>
      </c>
    </row>
    <row r="264" spans="1:14">
      <c r="A264" s="145" t="str">
        <f>IF(C264="","",VLOOKUP('Opći dio'!$C$3,'Opći dio'!$L$6:$U$136,10,FALSE))</f>
        <v/>
      </c>
      <c r="B264" s="145" t="str">
        <f>IF(C264="","",VLOOKUP('Opći dio'!$C$3,'Opći dio'!$L$6:$U$136,9,FALSE))</f>
        <v/>
      </c>
      <c r="C264" s="151"/>
      <c r="D264" s="146" t="str">
        <f t="shared" si="33"/>
        <v/>
      </c>
      <c r="E264" s="151"/>
      <c r="F264" s="146" t="str">
        <f t="shared" si="34"/>
        <v/>
      </c>
      <c r="G264" s="186"/>
      <c r="H264" s="146" t="str">
        <f t="shared" si="35"/>
        <v/>
      </c>
      <c r="I264" s="185"/>
      <c r="J264" s="185"/>
      <c r="K264" s="185"/>
      <c r="M264" s="141" t="str">
        <f t="shared" si="36"/>
        <v/>
      </c>
      <c r="N264" s="141" t="str">
        <f t="shared" si="37"/>
        <v/>
      </c>
    </row>
    <row r="265" spans="1:14">
      <c r="A265" s="145" t="str">
        <f>IF(C265="","",VLOOKUP('Opći dio'!$C$3,'Opći dio'!$L$6:$U$136,10,FALSE))</f>
        <v/>
      </c>
      <c r="B265" s="145" t="str">
        <f>IF(C265="","",VLOOKUP('Opći dio'!$C$3,'Opći dio'!$L$6:$U$136,9,FALSE))</f>
        <v/>
      </c>
      <c r="C265" s="151"/>
      <c r="D265" s="146" t="str">
        <f t="shared" si="33"/>
        <v/>
      </c>
      <c r="E265" s="151"/>
      <c r="F265" s="146" t="str">
        <f t="shared" si="34"/>
        <v/>
      </c>
      <c r="G265" s="186"/>
      <c r="H265" s="146" t="str">
        <f t="shared" si="35"/>
        <v/>
      </c>
      <c r="I265" s="185"/>
      <c r="J265" s="185"/>
      <c r="K265" s="185"/>
      <c r="M265" s="141" t="str">
        <f t="shared" si="36"/>
        <v/>
      </c>
      <c r="N265" s="141" t="str">
        <f t="shared" si="37"/>
        <v/>
      </c>
    </row>
    <row r="266" spans="1:14">
      <c r="A266" s="145" t="str">
        <f>IF(C266="","",VLOOKUP('Opći dio'!$C$3,'Opći dio'!$L$6:$U$136,10,FALSE))</f>
        <v/>
      </c>
      <c r="B266" s="145" t="str">
        <f>IF(C266="","",VLOOKUP('Opći dio'!$C$3,'Opći dio'!$L$6:$U$136,9,FALSE))</f>
        <v/>
      </c>
      <c r="C266" s="151"/>
      <c r="D266" s="146" t="str">
        <f t="shared" si="33"/>
        <v/>
      </c>
      <c r="E266" s="151"/>
      <c r="F266" s="146" t="str">
        <f t="shared" si="34"/>
        <v/>
      </c>
      <c r="G266" s="186"/>
      <c r="H266" s="146" t="str">
        <f t="shared" si="35"/>
        <v/>
      </c>
      <c r="I266" s="185"/>
      <c r="J266" s="185"/>
      <c r="K266" s="185"/>
      <c r="M266" s="141" t="str">
        <f t="shared" si="36"/>
        <v/>
      </c>
      <c r="N266" s="141" t="str">
        <f t="shared" si="37"/>
        <v/>
      </c>
    </row>
    <row r="267" spans="1:14">
      <c r="A267" s="145" t="str">
        <f>IF(C267="","",VLOOKUP('Opći dio'!$C$3,'Opći dio'!$L$6:$U$136,10,FALSE))</f>
        <v/>
      </c>
      <c r="B267" s="145" t="str">
        <f>IF(C267="","",VLOOKUP('Opći dio'!$C$3,'Opći dio'!$L$6:$U$136,9,FALSE))</f>
        <v/>
      </c>
      <c r="C267" s="151"/>
      <c r="D267" s="146" t="str">
        <f t="shared" si="33"/>
        <v/>
      </c>
      <c r="E267" s="151"/>
      <c r="F267" s="146" t="str">
        <f t="shared" si="34"/>
        <v/>
      </c>
      <c r="G267" s="186"/>
      <c r="H267" s="146" t="str">
        <f t="shared" si="35"/>
        <v/>
      </c>
      <c r="I267" s="185"/>
      <c r="J267" s="185"/>
      <c r="K267" s="185"/>
      <c r="M267" s="141" t="str">
        <f t="shared" si="36"/>
        <v/>
      </c>
      <c r="N267" s="141" t="str">
        <f t="shared" si="37"/>
        <v/>
      </c>
    </row>
    <row r="268" spans="1:14">
      <c r="A268" s="145" t="str">
        <f>IF(C268="","",VLOOKUP('Opći dio'!$C$3,'Opći dio'!$L$6:$U$136,10,FALSE))</f>
        <v/>
      </c>
      <c r="B268" s="145" t="str">
        <f>IF(C268="","",VLOOKUP('Opći dio'!$C$3,'Opći dio'!$L$6:$U$136,9,FALSE))</f>
        <v/>
      </c>
      <c r="C268" s="151"/>
      <c r="D268" s="146" t="str">
        <f t="shared" si="33"/>
        <v/>
      </c>
      <c r="E268" s="151"/>
      <c r="F268" s="146" t="str">
        <f t="shared" si="34"/>
        <v/>
      </c>
      <c r="G268" s="186"/>
      <c r="H268" s="146" t="str">
        <f t="shared" si="35"/>
        <v/>
      </c>
      <c r="I268" s="185"/>
      <c r="J268" s="185"/>
      <c r="K268" s="185"/>
      <c r="M268" s="141" t="str">
        <f t="shared" si="36"/>
        <v/>
      </c>
      <c r="N268" s="141" t="str">
        <f t="shared" si="37"/>
        <v/>
      </c>
    </row>
    <row r="269" spans="1:14">
      <c r="A269" s="145" t="str">
        <f>IF(C269="","",VLOOKUP('Opći dio'!$C$3,'Opći dio'!$L$6:$U$136,10,FALSE))</f>
        <v/>
      </c>
      <c r="B269" s="145" t="str">
        <f>IF(C269="","",VLOOKUP('Opći dio'!$C$3,'Opći dio'!$L$6:$U$136,9,FALSE))</f>
        <v/>
      </c>
      <c r="C269" s="151"/>
      <c r="D269" s="146" t="str">
        <f t="shared" si="33"/>
        <v/>
      </c>
      <c r="E269" s="151"/>
      <c r="F269" s="146" t="str">
        <f t="shared" si="34"/>
        <v/>
      </c>
      <c r="G269" s="186"/>
      <c r="H269" s="146" t="str">
        <f t="shared" si="35"/>
        <v/>
      </c>
      <c r="I269" s="185"/>
      <c r="J269" s="185"/>
      <c r="K269" s="185"/>
      <c r="M269" s="141" t="str">
        <f t="shared" si="36"/>
        <v/>
      </c>
      <c r="N269" s="141" t="str">
        <f t="shared" si="37"/>
        <v/>
      </c>
    </row>
    <row r="270" spans="1:14">
      <c r="A270" s="145" t="str">
        <f>IF(C270="","",VLOOKUP('Opći dio'!$C$3,'Opći dio'!$L$6:$U$136,10,FALSE))</f>
        <v/>
      </c>
      <c r="B270" s="145" t="str">
        <f>IF(C270="","",VLOOKUP('Opći dio'!$C$3,'Opći dio'!$L$6:$U$136,9,FALSE))</f>
        <v/>
      </c>
      <c r="C270" s="151"/>
      <c r="D270" s="146" t="str">
        <f t="shared" si="33"/>
        <v/>
      </c>
      <c r="E270" s="151"/>
      <c r="F270" s="146" t="str">
        <f t="shared" si="34"/>
        <v/>
      </c>
      <c r="G270" s="186"/>
      <c r="H270" s="146" t="str">
        <f t="shared" si="35"/>
        <v/>
      </c>
      <c r="I270" s="185"/>
      <c r="J270" s="185"/>
      <c r="K270" s="185"/>
      <c r="M270" s="141" t="str">
        <f t="shared" si="36"/>
        <v/>
      </c>
      <c r="N270" s="141" t="str">
        <f t="shared" si="37"/>
        <v/>
      </c>
    </row>
    <row r="271" spans="1:14">
      <c r="A271" s="145" t="str">
        <f>IF(C271="","",VLOOKUP('Opći dio'!$C$3,'Opći dio'!$L$6:$U$136,10,FALSE))</f>
        <v/>
      </c>
      <c r="B271" s="145" t="str">
        <f>IF(C271="","",VLOOKUP('Opći dio'!$C$3,'Opći dio'!$L$6:$U$136,9,FALSE))</f>
        <v/>
      </c>
      <c r="C271" s="151"/>
      <c r="D271" s="146" t="str">
        <f t="shared" si="33"/>
        <v/>
      </c>
      <c r="E271" s="151"/>
      <c r="F271" s="146" t="str">
        <f t="shared" si="34"/>
        <v/>
      </c>
      <c r="G271" s="186"/>
      <c r="H271" s="146" t="str">
        <f t="shared" si="35"/>
        <v/>
      </c>
      <c r="I271" s="185"/>
      <c r="J271" s="185"/>
      <c r="K271" s="185"/>
      <c r="M271" s="141" t="str">
        <f t="shared" si="36"/>
        <v/>
      </c>
      <c r="N271" s="141" t="str">
        <f t="shared" si="37"/>
        <v/>
      </c>
    </row>
    <row r="272" spans="1:14">
      <c r="A272" s="145" t="str">
        <f>IF(C272="","",VLOOKUP('Opći dio'!$C$3,'Opći dio'!$L$6:$U$136,10,FALSE))</f>
        <v/>
      </c>
      <c r="B272" s="145" t="str">
        <f>IF(C272="","",VLOOKUP('Opći dio'!$C$3,'Opći dio'!$L$6:$U$136,9,FALSE))</f>
        <v/>
      </c>
      <c r="C272" s="151"/>
      <c r="D272" s="146" t="str">
        <f t="shared" si="33"/>
        <v/>
      </c>
      <c r="E272" s="151"/>
      <c r="F272" s="146" t="str">
        <f t="shared" si="34"/>
        <v/>
      </c>
      <c r="G272" s="186"/>
      <c r="H272" s="146" t="str">
        <f t="shared" si="35"/>
        <v/>
      </c>
      <c r="I272" s="185"/>
      <c r="J272" s="185"/>
      <c r="K272" s="185"/>
      <c r="M272" s="141" t="str">
        <f t="shared" si="36"/>
        <v/>
      </c>
      <c r="N272" s="141" t="str">
        <f t="shared" si="37"/>
        <v/>
      </c>
    </row>
    <row r="273" spans="1:14">
      <c r="A273" s="145" t="str">
        <f>IF(C273="","",VLOOKUP('Opći dio'!$C$3,'Opći dio'!$L$6:$U$136,10,FALSE))</f>
        <v/>
      </c>
      <c r="B273" s="145" t="str">
        <f>IF(C273="","",VLOOKUP('Opći dio'!$C$3,'Opći dio'!$L$6:$U$136,9,FALSE))</f>
        <v/>
      </c>
      <c r="C273" s="151"/>
      <c r="D273" s="146" t="str">
        <f t="shared" si="33"/>
        <v/>
      </c>
      <c r="E273" s="151"/>
      <c r="F273" s="146" t="str">
        <f t="shared" si="34"/>
        <v/>
      </c>
      <c r="G273" s="186"/>
      <c r="H273" s="146" t="str">
        <f t="shared" si="35"/>
        <v/>
      </c>
      <c r="I273" s="185"/>
      <c r="J273" s="185"/>
      <c r="K273" s="185"/>
      <c r="M273" s="141" t="str">
        <f t="shared" si="36"/>
        <v/>
      </c>
      <c r="N273" s="141" t="str">
        <f t="shared" si="37"/>
        <v/>
      </c>
    </row>
    <row r="274" spans="1:14">
      <c r="A274" s="145" t="str">
        <f>IF(C274="","",VLOOKUP('Opći dio'!$C$3,'Opći dio'!$L$6:$U$136,10,FALSE))</f>
        <v/>
      </c>
      <c r="B274" s="145" t="str">
        <f>IF(C274="","",VLOOKUP('Opći dio'!$C$3,'Opći dio'!$L$6:$U$136,9,FALSE))</f>
        <v/>
      </c>
      <c r="C274" s="151"/>
      <c r="D274" s="146" t="str">
        <f t="shared" si="33"/>
        <v/>
      </c>
      <c r="E274" s="151"/>
      <c r="F274" s="146" t="str">
        <f t="shared" si="34"/>
        <v/>
      </c>
      <c r="G274" s="186"/>
      <c r="H274" s="146" t="str">
        <f t="shared" si="35"/>
        <v/>
      </c>
      <c r="I274" s="185"/>
      <c r="J274" s="185"/>
      <c r="K274" s="185"/>
      <c r="M274" s="141" t="str">
        <f t="shared" si="36"/>
        <v/>
      </c>
      <c r="N274" s="141" t="str">
        <f t="shared" si="37"/>
        <v/>
      </c>
    </row>
    <row r="275" spans="1:14">
      <c r="A275" s="145" t="str">
        <f>IF(C275="","",VLOOKUP('Opći dio'!$C$3,'Opći dio'!$L$6:$U$136,10,FALSE))</f>
        <v/>
      </c>
      <c r="B275" s="145" t="str">
        <f>IF(C275="","",VLOOKUP('Opći dio'!$C$3,'Opći dio'!$L$6:$U$136,9,FALSE))</f>
        <v/>
      </c>
      <c r="C275" s="151"/>
      <c r="D275" s="146" t="str">
        <f t="shared" si="33"/>
        <v/>
      </c>
      <c r="E275" s="151"/>
      <c r="F275" s="146" t="str">
        <f t="shared" si="34"/>
        <v/>
      </c>
      <c r="G275" s="186"/>
      <c r="H275" s="146" t="str">
        <f t="shared" si="35"/>
        <v/>
      </c>
      <c r="I275" s="185"/>
      <c r="J275" s="185"/>
      <c r="K275" s="185"/>
      <c r="M275" s="141" t="str">
        <f t="shared" si="36"/>
        <v/>
      </c>
      <c r="N275" s="141" t="str">
        <f t="shared" si="37"/>
        <v/>
      </c>
    </row>
    <row r="276" spans="1:14">
      <c r="A276" s="145" t="str">
        <f>IF(C276="","",VLOOKUP('Opći dio'!$C$3,'Opći dio'!$L$6:$U$136,10,FALSE))</f>
        <v/>
      </c>
      <c r="B276" s="145" t="str">
        <f>IF(C276="","",VLOOKUP('Opći dio'!$C$3,'Opći dio'!$L$6:$U$136,9,FALSE))</f>
        <v/>
      </c>
      <c r="C276" s="151"/>
      <c r="D276" s="146" t="str">
        <f t="shared" si="33"/>
        <v/>
      </c>
      <c r="E276" s="151"/>
      <c r="F276" s="146" t="str">
        <f t="shared" si="34"/>
        <v/>
      </c>
      <c r="G276" s="186"/>
      <c r="H276" s="146" t="str">
        <f t="shared" si="35"/>
        <v/>
      </c>
      <c r="I276" s="185"/>
      <c r="J276" s="185"/>
      <c r="K276" s="185"/>
      <c r="M276" s="141" t="str">
        <f t="shared" si="36"/>
        <v/>
      </c>
      <c r="N276" s="141" t="str">
        <f t="shared" si="37"/>
        <v/>
      </c>
    </row>
    <row r="277" spans="1:14">
      <c r="A277" s="145" t="str">
        <f>IF(C277="","",VLOOKUP('Opći dio'!$C$3,'Opći dio'!$L$6:$U$136,10,FALSE))</f>
        <v/>
      </c>
      <c r="B277" s="145" t="str">
        <f>IF(C277="","",VLOOKUP('Opći dio'!$C$3,'Opći dio'!$L$6:$U$136,9,FALSE))</f>
        <v/>
      </c>
      <c r="C277" s="151"/>
      <c r="D277" s="146" t="str">
        <f t="shared" si="33"/>
        <v/>
      </c>
      <c r="E277" s="151"/>
      <c r="F277" s="146" t="str">
        <f t="shared" si="34"/>
        <v/>
      </c>
      <c r="G277" s="186"/>
      <c r="H277" s="146" t="str">
        <f t="shared" si="35"/>
        <v/>
      </c>
      <c r="I277" s="185"/>
      <c r="J277" s="185"/>
      <c r="K277" s="185"/>
      <c r="M277" s="141" t="str">
        <f t="shared" si="36"/>
        <v/>
      </c>
      <c r="N277" s="141" t="str">
        <f t="shared" si="37"/>
        <v/>
      </c>
    </row>
    <row r="278" spans="1:14">
      <c r="A278" s="145" t="str">
        <f>IF(C278="","",VLOOKUP('Opći dio'!$C$3,'Opći dio'!$L$6:$U$136,10,FALSE))</f>
        <v/>
      </c>
      <c r="B278" s="145" t="str">
        <f>IF(C278="","",VLOOKUP('Opći dio'!$C$3,'Opći dio'!$L$6:$U$136,9,FALSE))</f>
        <v/>
      </c>
      <c r="C278" s="151"/>
      <c r="D278" s="146" t="str">
        <f t="shared" si="33"/>
        <v/>
      </c>
      <c r="E278" s="151"/>
      <c r="F278" s="146" t="str">
        <f t="shared" si="34"/>
        <v/>
      </c>
      <c r="G278" s="186"/>
      <c r="H278" s="146" t="str">
        <f t="shared" si="35"/>
        <v/>
      </c>
      <c r="I278" s="185"/>
      <c r="J278" s="185"/>
      <c r="K278" s="185"/>
      <c r="M278" s="141" t="str">
        <f t="shared" si="36"/>
        <v/>
      </c>
      <c r="N278" s="141" t="str">
        <f t="shared" si="37"/>
        <v/>
      </c>
    </row>
    <row r="279" spans="1:14">
      <c r="A279" s="145" t="str">
        <f>IF(C279="","",VLOOKUP('Opći dio'!$C$3,'Opći dio'!$L$6:$U$136,10,FALSE))</f>
        <v/>
      </c>
      <c r="B279" s="145" t="str">
        <f>IF(C279="","",VLOOKUP('Opći dio'!$C$3,'Opći dio'!$L$6:$U$136,9,FALSE))</f>
        <v/>
      </c>
      <c r="C279" s="151"/>
      <c r="D279" s="146" t="str">
        <f t="shared" si="33"/>
        <v/>
      </c>
      <c r="E279" s="151"/>
      <c r="F279" s="146" t="str">
        <f t="shared" si="34"/>
        <v/>
      </c>
      <c r="G279" s="186"/>
      <c r="H279" s="146" t="str">
        <f t="shared" si="35"/>
        <v/>
      </c>
      <c r="I279" s="185"/>
      <c r="J279" s="185"/>
      <c r="K279" s="185"/>
      <c r="M279" s="141" t="str">
        <f t="shared" si="36"/>
        <v/>
      </c>
      <c r="N279" s="141" t="str">
        <f t="shared" si="37"/>
        <v/>
      </c>
    </row>
    <row r="280" spans="1:14">
      <c r="A280" s="145" t="str">
        <f>IF(C280="","",VLOOKUP('Opći dio'!$C$3,'Opći dio'!$L$6:$U$136,10,FALSE))</f>
        <v/>
      </c>
      <c r="B280" s="145" t="str">
        <f>IF(C280="","",VLOOKUP('Opći dio'!$C$3,'Opći dio'!$L$6:$U$136,9,FALSE))</f>
        <v/>
      </c>
      <c r="C280" s="151"/>
      <c r="D280" s="146" t="str">
        <f t="shared" si="33"/>
        <v/>
      </c>
      <c r="E280" s="151"/>
      <c r="F280" s="146" t="str">
        <f t="shared" si="34"/>
        <v/>
      </c>
      <c r="G280" s="186"/>
      <c r="H280" s="146" t="str">
        <f t="shared" si="35"/>
        <v/>
      </c>
      <c r="I280" s="185"/>
      <c r="J280" s="185"/>
      <c r="K280" s="185"/>
      <c r="M280" s="141" t="str">
        <f t="shared" si="36"/>
        <v/>
      </c>
      <c r="N280" s="141" t="str">
        <f t="shared" si="37"/>
        <v/>
      </c>
    </row>
    <row r="281" spans="1:14">
      <c r="A281" s="145" t="str">
        <f>IF(C281="","",VLOOKUP('Opći dio'!$C$3,'Opći dio'!$L$6:$U$136,10,FALSE))</f>
        <v/>
      </c>
      <c r="B281" s="145" t="str">
        <f>IF(C281="","",VLOOKUP('Opći dio'!$C$3,'Opći dio'!$L$6:$U$136,9,FALSE))</f>
        <v/>
      </c>
      <c r="C281" s="151"/>
      <c r="D281" s="146" t="str">
        <f t="shared" si="33"/>
        <v/>
      </c>
      <c r="E281" s="151"/>
      <c r="F281" s="146" t="str">
        <f t="shared" si="34"/>
        <v/>
      </c>
      <c r="G281" s="186"/>
      <c r="H281" s="146" t="str">
        <f t="shared" si="35"/>
        <v/>
      </c>
      <c r="I281" s="185"/>
      <c r="J281" s="185"/>
      <c r="K281" s="185"/>
      <c r="M281" s="141" t="str">
        <f t="shared" si="36"/>
        <v/>
      </c>
      <c r="N281" s="141" t="str">
        <f t="shared" si="37"/>
        <v/>
      </c>
    </row>
    <row r="282" spans="1:14">
      <c r="A282" s="145" t="str">
        <f>IF(C282="","",VLOOKUP('Opći dio'!$C$3,'Opći dio'!$L$6:$U$136,10,FALSE))</f>
        <v/>
      </c>
      <c r="B282" s="145" t="str">
        <f>IF(C282="","",VLOOKUP('Opći dio'!$C$3,'Opći dio'!$L$6:$U$136,9,FALSE))</f>
        <v/>
      </c>
      <c r="C282" s="151"/>
      <c r="D282" s="146" t="str">
        <f t="shared" si="33"/>
        <v/>
      </c>
      <c r="E282" s="151"/>
      <c r="F282" s="146" t="str">
        <f t="shared" si="34"/>
        <v/>
      </c>
      <c r="G282" s="186"/>
      <c r="H282" s="146" t="str">
        <f t="shared" si="35"/>
        <v/>
      </c>
      <c r="I282" s="185"/>
      <c r="J282" s="185"/>
      <c r="K282" s="185"/>
      <c r="M282" s="141" t="str">
        <f t="shared" si="36"/>
        <v/>
      </c>
      <c r="N282" s="141" t="str">
        <f t="shared" si="37"/>
        <v/>
      </c>
    </row>
    <row r="283" spans="1:14">
      <c r="A283" s="145" t="str">
        <f>IF(C283="","",VLOOKUP('Opći dio'!$C$3,'Opći dio'!$L$6:$U$136,10,FALSE))</f>
        <v/>
      </c>
      <c r="B283" s="145" t="str">
        <f>IF(C283="","",VLOOKUP('Opći dio'!$C$3,'Opći dio'!$L$6:$U$136,9,FALSE))</f>
        <v/>
      </c>
      <c r="C283" s="151"/>
      <c r="D283" s="146" t="str">
        <f t="shared" si="33"/>
        <v/>
      </c>
      <c r="E283" s="151"/>
      <c r="F283" s="146" t="str">
        <f t="shared" si="34"/>
        <v/>
      </c>
      <c r="G283" s="186"/>
      <c r="H283" s="146" t="str">
        <f t="shared" si="35"/>
        <v/>
      </c>
      <c r="I283" s="185"/>
      <c r="J283" s="185"/>
      <c r="K283" s="185"/>
      <c r="M283" s="141" t="str">
        <f t="shared" si="36"/>
        <v/>
      </c>
      <c r="N283" s="141" t="str">
        <f t="shared" si="37"/>
        <v/>
      </c>
    </row>
    <row r="284" spans="1:14">
      <c r="A284" s="145" t="str">
        <f>IF(C284="","",VLOOKUP('Opći dio'!$C$3,'Opći dio'!$L$6:$U$136,10,FALSE))</f>
        <v/>
      </c>
      <c r="B284" s="145" t="str">
        <f>IF(C284="","",VLOOKUP('Opći dio'!$C$3,'Opći dio'!$L$6:$U$136,9,FALSE))</f>
        <v/>
      </c>
      <c r="C284" s="151"/>
      <c r="D284" s="146" t="str">
        <f t="shared" si="33"/>
        <v/>
      </c>
      <c r="E284" s="151"/>
      <c r="F284" s="146" t="str">
        <f t="shared" si="34"/>
        <v/>
      </c>
      <c r="G284" s="186"/>
      <c r="H284" s="146" t="str">
        <f t="shared" si="35"/>
        <v/>
      </c>
      <c r="I284" s="185"/>
      <c r="J284" s="185"/>
      <c r="K284" s="185"/>
      <c r="M284" s="141" t="str">
        <f t="shared" si="36"/>
        <v/>
      </c>
      <c r="N284" s="141" t="str">
        <f t="shared" si="37"/>
        <v/>
      </c>
    </row>
    <row r="285" spans="1:14">
      <c r="A285" s="145" t="str">
        <f>IF(C285="","",VLOOKUP('Opći dio'!$C$3,'Opći dio'!$L$6:$U$136,10,FALSE))</f>
        <v/>
      </c>
      <c r="B285" s="145" t="str">
        <f>IF(C285="","",VLOOKUP('Opći dio'!$C$3,'Opći dio'!$L$6:$U$136,9,FALSE))</f>
        <v/>
      </c>
      <c r="C285" s="151"/>
      <c r="D285" s="146" t="str">
        <f t="shared" si="33"/>
        <v/>
      </c>
      <c r="E285" s="151"/>
      <c r="F285" s="146" t="str">
        <f t="shared" si="34"/>
        <v/>
      </c>
      <c r="G285" s="186"/>
      <c r="H285" s="146" t="str">
        <f t="shared" si="35"/>
        <v/>
      </c>
      <c r="I285" s="185"/>
      <c r="J285" s="185"/>
      <c r="K285" s="185"/>
      <c r="M285" s="141" t="str">
        <f t="shared" si="36"/>
        <v/>
      </c>
      <c r="N285" s="141" t="str">
        <f t="shared" si="37"/>
        <v/>
      </c>
    </row>
    <row r="286" spans="1:14">
      <c r="A286" s="145" t="str">
        <f>IF(C286="","",VLOOKUP('Opći dio'!$C$3,'Opći dio'!$L$6:$U$136,10,FALSE))</f>
        <v/>
      </c>
      <c r="B286" s="145" t="str">
        <f>IF(C286="","",VLOOKUP('Opći dio'!$C$3,'Opći dio'!$L$6:$U$136,9,FALSE))</f>
        <v/>
      </c>
      <c r="C286" s="151"/>
      <c r="D286" s="146" t="str">
        <f t="shared" si="33"/>
        <v/>
      </c>
      <c r="E286" s="151"/>
      <c r="F286" s="146" t="str">
        <f t="shared" si="34"/>
        <v/>
      </c>
      <c r="G286" s="186"/>
      <c r="H286" s="146" t="str">
        <f t="shared" si="35"/>
        <v/>
      </c>
      <c r="I286" s="185"/>
      <c r="J286" s="185"/>
      <c r="K286" s="185"/>
      <c r="M286" s="141" t="str">
        <f t="shared" si="36"/>
        <v/>
      </c>
      <c r="N286" s="141" t="str">
        <f t="shared" si="37"/>
        <v/>
      </c>
    </row>
    <row r="287" spans="1:14">
      <c r="A287" s="145" t="str">
        <f>IF(C287="","",VLOOKUP('Opći dio'!$C$3,'Opći dio'!$L$6:$U$136,10,FALSE))</f>
        <v/>
      </c>
      <c r="B287" s="145" t="str">
        <f>IF(C287="","",VLOOKUP('Opći dio'!$C$3,'Opći dio'!$L$6:$U$136,9,FALSE))</f>
        <v/>
      </c>
      <c r="C287" s="151"/>
      <c r="D287" s="146" t="str">
        <f t="shared" si="33"/>
        <v/>
      </c>
      <c r="E287" s="151"/>
      <c r="F287" s="146" t="str">
        <f t="shared" si="34"/>
        <v/>
      </c>
      <c r="G287" s="186"/>
      <c r="H287" s="146" t="str">
        <f t="shared" si="35"/>
        <v/>
      </c>
      <c r="I287" s="185"/>
      <c r="J287" s="185"/>
      <c r="K287" s="185"/>
      <c r="M287" s="141" t="str">
        <f t="shared" si="36"/>
        <v/>
      </c>
      <c r="N287" s="141" t="str">
        <f t="shared" si="37"/>
        <v/>
      </c>
    </row>
    <row r="288" spans="1:14">
      <c r="A288" s="145" t="str">
        <f>IF(C288="","",VLOOKUP('Opći dio'!$C$3,'Opći dio'!$L$6:$U$136,10,FALSE))</f>
        <v/>
      </c>
      <c r="B288" s="145" t="str">
        <f>IF(C288="","",VLOOKUP('Opći dio'!$C$3,'Opći dio'!$L$6:$U$136,9,FALSE))</f>
        <v/>
      </c>
      <c r="C288" s="151"/>
      <c r="D288" s="146" t="str">
        <f t="shared" si="33"/>
        <v/>
      </c>
      <c r="E288" s="151"/>
      <c r="F288" s="146" t="str">
        <f t="shared" si="34"/>
        <v/>
      </c>
      <c r="G288" s="186"/>
      <c r="H288" s="146" t="str">
        <f t="shared" si="35"/>
        <v/>
      </c>
      <c r="I288" s="185"/>
      <c r="J288" s="185"/>
      <c r="K288" s="185"/>
      <c r="M288" s="141" t="str">
        <f t="shared" si="36"/>
        <v/>
      </c>
      <c r="N288" s="141" t="str">
        <f t="shared" si="37"/>
        <v/>
      </c>
    </row>
    <row r="289" spans="1:14">
      <c r="A289" s="145" t="str">
        <f>IF(C289="","",VLOOKUP('Opći dio'!$C$3,'Opći dio'!$L$6:$U$136,10,FALSE))</f>
        <v/>
      </c>
      <c r="B289" s="145" t="str">
        <f>IF(C289="","",VLOOKUP('Opći dio'!$C$3,'Opći dio'!$L$6:$U$136,9,FALSE))</f>
        <v/>
      </c>
      <c r="C289" s="151"/>
      <c r="D289" s="146" t="str">
        <f t="shared" si="33"/>
        <v/>
      </c>
      <c r="E289" s="151"/>
      <c r="F289" s="146" t="str">
        <f t="shared" si="34"/>
        <v/>
      </c>
      <c r="G289" s="186"/>
      <c r="H289" s="146" t="str">
        <f t="shared" si="35"/>
        <v/>
      </c>
      <c r="I289" s="185"/>
      <c r="J289" s="185"/>
      <c r="K289" s="185"/>
      <c r="M289" s="141" t="str">
        <f t="shared" si="36"/>
        <v/>
      </c>
      <c r="N289" s="141" t="str">
        <f t="shared" si="37"/>
        <v/>
      </c>
    </row>
    <row r="290" spans="1:14">
      <c r="A290" s="145" t="str">
        <f>IF(C290="","",VLOOKUP('Opći dio'!$C$3,'Opći dio'!$L$6:$U$136,10,FALSE))</f>
        <v/>
      </c>
      <c r="B290" s="145" t="str">
        <f>IF(C290="","",VLOOKUP('Opći dio'!$C$3,'Opći dio'!$L$6:$U$136,9,FALSE))</f>
        <v/>
      </c>
      <c r="C290" s="151"/>
      <c r="D290" s="146" t="str">
        <f t="shared" si="33"/>
        <v/>
      </c>
      <c r="E290" s="151"/>
      <c r="F290" s="146" t="str">
        <f t="shared" si="34"/>
        <v/>
      </c>
      <c r="G290" s="186"/>
      <c r="H290" s="146" t="str">
        <f t="shared" si="35"/>
        <v/>
      </c>
      <c r="I290" s="185"/>
      <c r="J290" s="185"/>
      <c r="K290" s="185"/>
      <c r="M290" s="141" t="str">
        <f t="shared" si="36"/>
        <v/>
      </c>
      <c r="N290" s="141" t="str">
        <f t="shared" si="37"/>
        <v/>
      </c>
    </row>
    <row r="291" spans="1:14">
      <c r="A291" s="145" t="str">
        <f>IF(C291="","",VLOOKUP('Opći dio'!$C$3,'Opći dio'!$L$6:$U$136,10,FALSE))</f>
        <v/>
      </c>
      <c r="B291" s="145" t="str">
        <f>IF(C291="","",VLOOKUP('Opći dio'!$C$3,'Opći dio'!$L$6:$U$136,9,FALSE))</f>
        <v/>
      </c>
      <c r="C291" s="151"/>
      <c r="D291" s="146" t="str">
        <f t="shared" si="33"/>
        <v/>
      </c>
      <c r="E291" s="151"/>
      <c r="F291" s="146" t="str">
        <f t="shared" si="34"/>
        <v/>
      </c>
      <c r="G291" s="186"/>
      <c r="H291" s="146" t="str">
        <f t="shared" si="35"/>
        <v/>
      </c>
      <c r="I291" s="185"/>
      <c r="J291" s="185"/>
      <c r="K291" s="185"/>
      <c r="M291" s="141" t="str">
        <f t="shared" si="36"/>
        <v/>
      </c>
      <c r="N291" s="141" t="str">
        <f t="shared" si="37"/>
        <v/>
      </c>
    </row>
    <row r="292" spans="1:14">
      <c r="A292" s="145" t="str">
        <f>IF(C292="","",VLOOKUP('Opći dio'!$C$3,'Opći dio'!$L$6:$U$136,10,FALSE))</f>
        <v/>
      </c>
      <c r="B292" s="145" t="str">
        <f>IF(C292="","",VLOOKUP('Opći dio'!$C$3,'Opći dio'!$L$6:$U$136,9,FALSE))</f>
        <v/>
      </c>
      <c r="C292" s="151"/>
      <c r="D292" s="146" t="str">
        <f t="shared" si="33"/>
        <v/>
      </c>
      <c r="E292" s="151"/>
      <c r="F292" s="146" t="str">
        <f t="shared" si="34"/>
        <v/>
      </c>
      <c r="G292" s="186"/>
      <c r="H292" s="146" t="str">
        <f t="shared" si="35"/>
        <v/>
      </c>
      <c r="I292" s="185"/>
      <c r="J292" s="185"/>
      <c r="K292" s="185"/>
      <c r="M292" s="141" t="str">
        <f t="shared" si="36"/>
        <v/>
      </c>
      <c r="N292" s="141" t="str">
        <f t="shared" si="37"/>
        <v/>
      </c>
    </row>
    <row r="293" spans="1:14">
      <c r="A293" s="145" t="str">
        <f>IF(C293="","",VLOOKUP('Opći dio'!$C$3,'Opći dio'!$L$6:$U$136,10,FALSE))</f>
        <v/>
      </c>
      <c r="B293" s="145" t="str">
        <f>IF(C293="","",VLOOKUP('Opći dio'!$C$3,'Opći dio'!$L$6:$U$136,9,FALSE))</f>
        <v/>
      </c>
      <c r="C293" s="151"/>
      <c r="D293" s="146" t="str">
        <f t="shared" si="33"/>
        <v/>
      </c>
      <c r="E293" s="151"/>
      <c r="F293" s="146" t="str">
        <f t="shared" si="34"/>
        <v/>
      </c>
      <c r="G293" s="186"/>
      <c r="H293" s="146" t="str">
        <f t="shared" si="35"/>
        <v/>
      </c>
      <c r="I293" s="185"/>
      <c r="J293" s="185"/>
      <c r="K293" s="185"/>
      <c r="M293" s="141" t="str">
        <f t="shared" si="36"/>
        <v/>
      </c>
      <c r="N293" s="141" t="str">
        <f t="shared" si="37"/>
        <v/>
      </c>
    </row>
    <row r="294" spans="1:14">
      <c r="A294" s="145" t="str">
        <f>IF(C294="","",VLOOKUP('Opći dio'!$C$3,'Opći dio'!$L$6:$U$136,10,FALSE))</f>
        <v/>
      </c>
      <c r="B294" s="145" t="str">
        <f>IF(C294="","",VLOOKUP('Opći dio'!$C$3,'Opći dio'!$L$6:$U$136,9,FALSE))</f>
        <v/>
      </c>
      <c r="C294" s="151"/>
      <c r="D294" s="146" t="str">
        <f t="shared" si="33"/>
        <v/>
      </c>
      <c r="E294" s="151"/>
      <c r="F294" s="146" t="str">
        <f t="shared" si="34"/>
        <v/>
      </c>
      <c r="G294" s="186"/>
      <c r="H294" s="146" t="str">
        <f t="shared" si="35"/>
        <v/>
      </c>
      <c r="I294" s="185"/>
      <c r="J294" s="185"/>
      <c r="K294" s="185"/>
      <c r="M294" s="141" t="str">
        <f t="shared" si="36"/>
        <v/>
      </c>
      <c r="N294" s="141" t="str">
        <f t="shared" si="37"/>
        <v/>
      </c>
    </row>
    <row r="295" spans="1:14">
      <c r="A295" s="145" t="str">
        <f>IF(C295="","",VLOOKUP('Opći dio'!$C$3,'Opći dio'!$L$6:$U$136,10,FALSE))</f>
        <v/>
      </c>
      <c r="B295" s="145" t="str">
        <f>IF(C295="","",VLOOKUP('Opći dio'!$C$3,'Opći dio'!$L$6:$U$136,9,FALSE))</f>
        <v/>
      </c>
      <c r="C295" s="151"/>
      <c r="D295" s="146" t="str">
        <f t="shared" si="33"/>
        <v/>
      </c>
      <c r="E295" s="151"/>
      <c r="F295" s="146" t="str">
        <f t="shared" si="34"/>
        <v/>
      </c>
      <c r="G295" s="186"/>
      <c r="H295" s="146" t="str">
        <f t="shared" si="35"/>
        <v/>
      </c>
      <c r="I295" s="185"/>
      <c r="J295" s="185"/>
      <c r="K295" s="185"/>
      <c r="M295" s="141" t="str">
        <f t="shared" si="36"/>
        <v/>
      </c>
      <c r="N295" s="141" t="str">
        <f t="shared" si="37"/>
        <v/>
      </c>
    </row>
    <row r="296" spans="1:14">
      <c r="A296" s="145" t="str">
        <f>IF(C296="","",VLOOKUP('Opći dio'!$C$3,'Opći dio'!$L$6:$U$136,10,FALSE))</f>
        <v/>
      </c>
      <c r="B296" s="145" t="str">
        <f>IF(C296="","",VLOOKUP('Opći dio'!$C$3,'Opći dio'!$L$6:$U$136,9,FALSE))</f>
        <v/>
      </c>
      <c r="C296" s="151"/>
      <c r="D296" s="146" t="str">
        <f t="shared" si="33"/>
        <v/>
      </c>
      <c r="E296" s="151"/>
      <c r="F296" s="146" t="str">
        <f t="shared" si="34"/>
        <v/>
      </c>
      <c r="G296" s="186"/>
      <c r="H296" s="146" t="str">
        <f t="shared" si="35"/>
        <v/>
      </c>
      <c r="I296" s="185"/>
      <c r="J296" s="185"/>
      <c r="K296" s="185"/>
      <c r="M296" s="141" t="str">
        <f t="shared" si="36"/>
        <v/>
      </c>
      <c r="N296" s="141" t="str">
        <f t="shared" si="37"/>
        <v/>
      </c>
    </row>
    <row r="297" spans="1:14">
      <c r="A297" s="145" t="str">
        <f>IF(C297="","",VLOOKUP('Opći dio'!$C$3,'Opći dio'!$L$6:$U$136,10,FALSE))</f>
        <v/>
      </c>
      <c r="B297" s="145" t="str">
        <f>IF(C297="","",VLOOKUP('Opći dio'!$C$3,'Opći dio'!$L$6:$U$136,9,FALSE))</f>
        <v/>
      </c>
      <c r="C297" s="151"/>
      <c r="D297" s="146" t="str">
        <f t="shared" si="33"/>
        <v/>
      </c>
      <c r="E297" s="151"/>
      <c r="F297" s="146" t="str">
        <f t="shared" si="34"/>
        <v/>
      </c>
      <c r="G297" s="186"/>
      <c r="H297" s="146" t="str">
        <f t="shared" si="35"/>
        <v/>
      </c>
      <c r="I297" s="185"/>
      <c r="J297" s="185"/>
      <c r="K297" s="185"/>
      <c r="M297" s="141" t="str">
        <f t="shared" si="36"/>
        <v/>
      </c>
      <c r="N297" s="141" t="str">
        <f t="shared" si="37"/>
        <v/>
      </c>
    </row>
    <row r="298" spans="1:14">
      <c r="A298" s="145" t="str">
        <f>IF(C298="","",VLOOKUP('Opći dio'!$C$3,'Opći dio'!$L$6:$U$136,10,FALSE))</f>
        <v/>
      </c>
      <c r="B298" s="145" t="str">
        <f>IF(C298="","",VLOOKUP('Opći dio'!$C$3,'Opći dio'!$L$6:$U$136,9,FALSE))</f>
        <v/>
      </c>
      <c r="C298" s="151"/>
      <c r="D298" s="146" t="str">
        <f t="shared" si="33"/>
        <v/>
      </c>
      <c r="E298" s="151"/>
      <c r="F298" s="146" t="str">
        <f t="shared" si="34"/>
        <v/>
      </c>
      <c r="G298" s="186"/>
      <c r="H298" s="146" t="str">
        <f t="shared" si="35"/>
        <v/>
      </c>
      <c r="I298" s="185"/>
      <c r="J298" s="185"/>
      <c r="K298" s="185"/>
      <c r="M298" s="141" t="str">
        <f t="shared" si="36"/>
        <v/>
      </c>
      <c r="N298" s="141" t="str">
        <f t="shared" si="37"/>
        <v/>
      </c>
    </row>
    <row r="299" spans="1:14">
      <c r="A299" s="145" t="str">
        <f>IF(C299="","",VLOOKUP('Opći dio'!$C$3,'Opći dio'!$L$6:$U$136,10,FALSE))</f>
        <v/>
      </c>
      <c r="B299" s="145" t="str">
        <f>IF(C299="","",VLOOKUP('Opći dio'!$C$3,'Opći dio'!$L$6:$U$136,9,FALSE))</f>
        <v/>
      </c>
      <c r="C299" s="151"/>
      <c r="D299" s="146" t="str">
        <f t="shared" si="33"/>
        <v/>
      </c>
      <c r="E299" s="151"/>
      <c r="F299" s="146" t="str">
        <f t="shared" si="34"/>
        <v/>
      </c>
      <c r="G299" s="186"/>
      <c r="H299" s="146" t="str">
        <f t="shared" si="35"/>
        <v/>
      </c>
      <c r="I299" s="185"/>
      <c r="J299" s="185"/>
      <c r="K299" s="185"/>
      <c r="M299" s="141" t="str">
        <f t="shared" si="36"/>
        <v/>
      </c>
      <c r="N299" s="141" t="str">
        <f t="shared" si="37"/>
        <v/>
      </c>
    </row>
    <row r="300" spans="1:14">
      <c r="A300" s="145" t="str">
        <f>IF(C300="","",VLOOKUP('Opći dio'!$C$3,'Opći dio'!$L$6:$U$136,10,FALSE))</f>
        <v/>
      </c>
      <c r="B300" s="145" t="str">
        <f>IF(C300="","",VLOOKUP('Opći dio'!$C$3,'Opći dio'!$L$6:$U$136,9,FALSE))</f>
        <v/>
      </c>
      <c r="C300" s="151"/>
      <c r="D300" s="146" t="str">
        <f t="shared" si="33"/>
        <v/>
      </c>
      <c r="E300" s="151"/>
      <c r="F300" s="146" t="str">
        <f t="shared" si="34"/>
        <v/>
      </c>
      <c r="G300" s="186"/>
      <c r="H300" s="146" t="str">
        <f t="shared" si="35"/>
        <v/>
      </c>
      <c r="I300" s="185"/>
      <c r="J300" s="185"/>
      <c r="K300" s="185"/>
      <c r="M300" s="141" t="str">
        <f t="shared" si="36"/>
        <v/>
      </c>
      <c r="N300" s="141" t="str">
        <f t="shared" si="37"/>
        <v/>
      </c>
    </row>
    <row r="301" spans="1:14">
      <c r="A301" s="145" t="str">
        <f>IF(C301="","",VLOOKUP('Opći dio'!$C$3,'Opći dio'!$L$6:$U$136,10,FALSE))</f>
        <v/>
      </c>
      <c r="B301" s="145" t="str">
        <f>IF(C301="","",VLOOKUP('Opći dio'!$C$3,'Opći dio'!$L$6:$U$136,9,FALSE))</f>
        <v/>
      </c>
      <c r="C301" s="151"/>
      <c r="D301" s="146" t="str">
        <f t="shared" si="33"/>
        <v/>
      </c>
      <c r="E301" s="151"/>
      <c r="F301" s="146" t="str">
        <f t="shared" si="34"/>
        <v/>
      </c>
      <c r="G301" s="186"/>
      <c r="H301" s="146" t="str">
        <f t="shared" si="35"/>
        <v/>
      </c>
      <c r="I301" s="185"/>
      <c r="J301" s="185"/>
      <c r="K301" s="185"/>
      <c r="M301" s="141" t="str">
        <f t="shared" si="36"/>
        <v/>
      </c>
      <c r="N301" s="141" t="str">
        <f t="shared" si="37"/>
        <v/>
      </c>
    </row>
    <row r="302" spans="1:14">
      <c r="A302" s="145" t="str">
        <f>IF(C302="","",VLOOKUP('Opći dio'!$C$3,'Opći dio'!$L$6:$U$136,10,FALSE))</f>
        <v/>
      </c>
      <c r="B302" s="145" t="str">
        <f>IF(C302="","",VLOOKUP('Opći dio'!$C$3,'Opći dio'!$L$6:$U$136,9,FALSE))</f>
        <v/>
      </c>
      <c r="C302" s="151"/>
      <c r="D302" s="146" t="str">
        <f t="shared" si="33"/>
        <v/>
      </c>
      <c r="E302" s="151"/>
      <c r="F302" s="146" t="str">
        <f t="shared" si="34"/>
        <v/>
      </c>
      <c r="G302" s="186"/>
      <c r="H302" s="146" t="str">
        <f t="shared" si="35"/>
        <v/>
      </c>
      <c r="I302" s="185"/>
      <c r="J302" s="185"/>
      <c r="K302" s="185"/>
      <c r="M302" s="141" t="str">
        <f t="shared" si="36"/>
        <v/>
      </c>
      <c r="N302" s="141" t="str">
        <f t="shared" si="37"/>
        <v/>
      </c>
    </row>
    <row r="303" spans="1:14">
      <c r="A303" s="145" t="str">
        <f>IF(C303="","",VLOOKUP('Opći dio'!$C$3,'Opći dio'!$L$6:$U$136,10,FALSE))</f>
        <v/>
      </c>
      <c r="B303" s="145" t="str">
        <f>IF(C303="","",VLOOKUP('Opći dio'!$C$3,'Opći dio'!$L$6:$U$136,9,FALSE))</f>
        <v/>
      </c>
      <c r="C303" s="151"/>
      <c r="D303" s="146" t="str">
        <f t="shared" si="33"/>
        <v/>
      </c>
      <c r="E303" s="151"/>
      <c r="F303" s="146" t="str">
        <f t="shared" si="34"/>
        <v/>
      </c>
      <c r="G303" s="186"/>
      <c r="H303" s="146" t="str">
        <f t="shared" si="35"/>
        <v/>
      </c>
      <c r="I303" s="185"/>
      <c r="J303" s="185"/>
      <c r="K303" s="185"/>
      <c r="M303" s="141" t="str">
        <f t="shared" si="36"/>
        <v/>
      </c>
      <c r="N303" s="141" t="str">
        <f t="shared" si="37"/>
        <v/>
      </c>
    </row>
    <row r="304" spans="1:14">
      <c r="A304" s="145" t="str">
        <f>IF(C304="","",VLOOKUP('Opći dio'!$C$3,'Opći dio'!$L$6:$U$136,10,FALSE))</f>
        <v/>
      </c>
      <c r="B304" s="145" t="str">
        <f>IF(C304="","",VLOOKUP('Opći dio'!$C$3,'Opći dio'!$L$6:$U$136,9,FALSE))</f>
        <v/>
      </c>
      <c r="C304" s="151"/>
      <c r="D304" s="146" t="str">
        <f t="shared" si="33"/>
        <v/>
      </c>
      <c r="E304" s="151"/>
      <c r="F304" s="146" t="str">
        <f t="shared" si="34"/>
        <v/>
      </c>
      <c r="G304" s="186"/>
      <c r="H304" s="146" t="str">
        <f t="shared" si="35"/>
        <v/>
      </c>
      <c r="I304" s="185"/>
      <c r="J304" s="185"/>
      <c r="K304" s="185"/>
      <c r="M304" s="141" t="str">
        <f t="shared" si="36"/>
        <v/>
      </c>
      <c r="N304" s="141" t="str">
        <f t="shared" si="37"/>
        <v/>
      </c>
    </row>
    <row r="305" spans="1:14">
      <c r="A305" s="145" t="str">
        <f>IF(C305="","",VLOOKUP('Opći dio'!$C$3,'Opći dio'!$L$6:$U$136,10,FALSE))</f>
        <v/>
      </c>
      <c r="B305" s="145" t="str">
        <f>IF(C305="","",VLOOKUP('Opći dio'!$C$3,'Opći dio'!$L$6:$U$136,9,FALSE))</f>
        <v/>
      </c>
      <c r="C305" s="151"/>
      <c r="D305" s="146" t="str">
        <f t="shared" si="33"/>
        <v/>
      </c>
      <c r="E305" s="151"/>
      <c r="F305" s="146" t="str">
        <f t="shared" si="34"/>
        <v/>
      </c>
      <c r="G305" s="186"/>
      <c r="H305" s="146" t="str">
        <f t="shared" si="35"/>
        <v/>
      </c>
      <c r="I305" s="185"/>
      <c r="J305" s="185"/>
      <c r="K305" s="185"/>
      <c r="M305" s="141" t="str">
        <f t="shared" si="36"/>
        <v/>
      </c>
      <c r="N305" s="141" t="str">
        <f t="shared" si="37"/>
        <v/>
      </c>
    </row>
    <row r="306" spans="1:14">
      <c r="A306" s="145" t="str">
        <f>IF(C306="","",VLOOKUP('Opći dio'!$C$3,'Opći dio'!$L$6:$U$136,10,FALSE))</f>
        <v/>
      </c>
      <c r="B306" s="145" t="str">
        <f>IF(C306="","",VLOOKUP('Opći dio'!$C$3,'Opći dio'!$L$6:$U$136,9,FALSE))</f>
        <v/>
      </c>
      <c r="C306" s="151"/>
      <c r="D306" s="146" t="str">
        <f t="shared" si="33"/>
        <v/>
      </c>
      <c r="E306" s="151"/>
      <c r="F306" s="146" t="str">
        <f t="shared" si="34"/>
        <v/>
      </c>
      <c r="G306" s="186"/>
      <c r="H306" s="146" t="str">
        <f t="shared" si="35"/>
        <v/>
      </c>
      <c r="I306" s="185"/>
      <c r="J306" s="185"/>
      <c r="K306" s="185"/>
      <c r="M306" s="141" t="str">
        <f t="shared" si="36"/>
        <v/>
      </c>
      <c r="N306" s="141" t="str">
        <f t="shared" si="37"/>
        <v/>
      </c>
    </row>
    <row r="307" spans="1:14">
      <c r="A307" s="145" t="str">
        <f>IF(C307="","",VLOOKUP('Opći dio'!$C$3,'Opći dio'!$L$6:$U$136,10,FALSE))</f>
        <v/>
      </c>
      <c r="B307" s="145" t="str">
        <f>IF(C307="","",VLOOKUP('Opći dio'!$C$3,'Opći dio'!$L$6:$U$136,9,FALSE))</f>
        <v/>
      </c>
      <c r="C307" s="151"/>
      <c r="D307" s="146" t="str">
        <f t="shared" si="33"/>
        <v/>
      </c>
      <c r="E307" s="151"/>
      <c r="F307" s="146" t="str">
        <f t="shared" si="34"/>
        <v/>
      </c>
      <c r="G307" s="186"/>
      <c r="H307" s="146" t="str">
        <f t="shared" si="35"/>
        <v/>
      </c>
      <c r="I307" s="185"/>
      <c r="J307" s="185"/>
      <c r="K307" s="185"/>
      <c r="M307" s="141" t="str">
        <f t="shared" si="36"/>
        <v/>
      </c>
      <c r="N307" s="141" t="str">
        <f t="shared" si="37"/>
        <v/>
      </c>
    </row>
    <row r="308" spans="1:14">
      <c r="A308" s="145" t="str">
        <f>IF(C308="","",VLOOKUP('Opći dio'!$C$3,'Opći dio'!$L$6:$U$136,10,FALSE))</f>
        <v/>
      </c>
      <c r="B308" s="145" t="str">
        <f>IF(C308="","",VLOOKUP('Opći dio'!$C$3,'Opći dio'!$L$6:$U$136,9,FALSE))</f>
        <v/>
      </c>
      <c r="C308" s="151"/>
      <c r="D308" s="146" t="str">
        <f t="shared" si="33"/>
        <v/>
      </c>
      <c r="E308" s="151"/>
      <c r="F308" s="146" t="str">
        <f t="shared" si="34"/>
        <v/>
      </c>
      <c r="G308" s="186"/>
      <c r="H308" s="146" t="str">
        <f t="shared" si="35"/>
        <v/>
      </c>
      <c r="I308" s="185"/>
      <c r="J308" s="185"/>
      <c r="K308" s="185"/>
      <c r="M308" s="141" t="str">
        <f t="shared" si="36"/>
        <v/>
      </c>
      <c r="N308" s="141" t="str">
        <f t="shared" si="37"/>
        <v/>
      </c>
    </row>
    <row r="309" spans="1:14">
      <c r="A309" s="145" t="str">
        <f>IF(C309="","",VLOOKUP('Opći dio'!$C$3,'Opći dio'!$L$6:$U$136,10,FALSE))</f>
        <v/>
      </c>
      <c r="B309" s="145" t="str">
        <f>IF(C309="","",VLOOKUP('Opći dio'!$C$3,'Opći dio'!$L$6:$U$136,9,FALSE))</f>
        <v/>
      </c>
      <c r="C309" s="151"/>
      <c r="D309" s="146" t="str">
        <f t="shared" si="33"/>
        <v/>
      </c>
      <c r="E309" s="151"/>
      <c r="F309" s="146" t="str">
        <f t="shared" si="34"/>
        <v/>
      </c>
      <c r="G309" s="186"/>
      <c r="H309" s="146" t="str">
        <f t="shared" si="35"/>
        <v/>
      </c>
      <c r="I309" s="185"/>
      <c r="J309" s="185"/>
      <c r="K309" s="185"/>
      <c r="M309" s="141" t="str">
        <f t="shared" si="36"/>
        <v/>
      </c>
      <c r="N309" s="141" t="str">
        <f t="shared" si="37"/>
        <v/>
      </c>
    </row>
    <row r="310" spans="1:14">
      <c r="A310" s="145" t="str">
        <f>IF(C310="","",VLOOKUP('Opći dio'!$C$3,'Opći dio'!$L$6:$U$136,10,FALSE))</f>
        <v/>
      </c>
      <c r="B310" s="145" t="str">
        <f>IF(C310="","",VLOOKUP('Opći dio'!$C$3,'Opći dio'!$L$6:$U$136,9,FALSE))</f>
        <v/>
      </c>
      <c r="C310" s="151"/>
      <c r="D310" s="146" t="str">
        <f t="shared" si="33"/>
        <v/>
      </c>
      <c r="E310" s="151"/>
      <c r="F310" s="146" t="str">
        <f t="shared" si="34"/>
        <v/>
      </c>
      <c r="G310" s="186"/>
      <c r="H310" s="146" t="str">
        <f t="shared" si="35"/>
        <v/>
      </c>
      <c r="I310" s="185"/>
      <c r="J310" s="185"/>
      <c r="K310" s="185"/>
      <c r="M310" s="141" t="str">
        <f t="shared" si="36"/>
        <v/>
      </c>
      <c r="N310" s="141" t="str">
        <f t="shared" si="37"/>
        <v/>
      </c>
    </row>
    <row r="311" spans="1:14">
      <c r="A311" s="145" t="str">
        <f>IF(C311="","",VLOOKUP('Opći dio'!$C$3,'Opći dio'!$L$6:$U$136,10,FALSE))</f>
        <v/>
      </c>
      <c r="B311" s="145" t="str">
        <f>IF(C311="","",VLOOKUP('Opći dio'!$C$3,'Opći dio'!$L$6:$U$136,9,FALSE))</f>
        <v/>
      </c>
      <c r="C311" s="151"/>
      <c r="D311" s="146" t="str">
        <f t="shared" si="33"/>
        <v/>
      </c>
      <c r="E311" s="151"/>
      <c r="F311" s="146" t="str">
        <f t="shared" si="34"/>
        <v/>
      </c>
      <c r="G311" s="186"/>
      <c r="H311" s="146" t="str">
        <f t="shared" si="35"/>
        <v/>
      </c>
      <c r="I311" s="185"/>
      <c r="J311" s="185"/>
      <c r="K311" s="185"/>
      <c r="M311" s="141" t="str">
        <f t="shared" si="36"/>
        <v/>
      </c>
      <c r="N311" s="141" t="str">
        <f t="shared" si="37"/>
        <v/>
      </c>
    </row>
    <row r="312" spans="1:14">
      <c r="A312" s="145" t="str">
        <f>IF(C312="","",VLOOKUP('Opći dio'!$C$3,'Opći dio'!$L$6:$U$136,10,FALSE))</f>
        <v/>
      </c>
      <c r="B312" s="145" t="str">
        <f>IF(C312="","",VLOOKUP('Opći dio'!$C$3,'Opći dio'!$L$6:$U$136,9,FALSE))</f>
        <v/>
      </c>
      <c r="C312" s="151"/>
      <c r="D312" s="146" t="str">
        <f t="shared" si="33"/>
        <v/>
      </c>
      <c r="E312" s="151"/>
      <c r="F312" s="146" t="str">
        <f t="shared" si="34"/>
        <v/>
      </c>
      <c r="G312" s="186"/>
      <c r="H312" s="146" t="str">
        <f t="shared" si="35"/>
        <v/>
      </c>
      <c r="I312" s="185"/>
      <c r="J312" s="185"/>
      <c r="K312" s="185"/>
      <c r="M312" s="141" t="str">
        <f t="shared" si="36"/>
        <v/>
      </c>
      <c r="N312" s="141" t="str">
        <f t="shared" si="37"/>
        <v/>
      </c>
    </row>
    <row r="313" spans="1:14">
      <c r="A313" s="145" t="str">
        <f>IF(C313="","",VLOOKUP('Opći dio'!$C$3,'Opći dio'!$L$6:$U$136,10,FALSE))</f>
        <v/>
      </c>
      <c r="B313" s="145" t="str">
        <f>IF(C313="","",VLOOKUP('Opći dio'!$C$3,'Opći dio'!$L$6:$U$136,9,FALSE))</f>
        <v/>
      </c>
      <c r="C313" s="151"/>
      <c r="D313" s="146" t="str">
        <f t="shared" si="33"/>
        <v/>
      </c>
      <c r="E313" s="151"/>
      <c r="F313" s="146" t="str">
        <f t="shared" si="34"/>
        <v/>
      </c>
      <c r="G313" s="186"/>
      <c r="H313" s="146" t="str">
        <f t="shared" si="35"/>
        <v/>
      </c>
      <c r="I313" s="185"/>
      <c r="J313" s="185"/>
      <c r="K313" s="185"/>
      <c r="M313" s="141" t="str">
        <f t="shared" si="36"/>
        <v/>
      </c>
      <c r="N313" s="141" t="str">
        <f t="shared" si="37"/>
        <v/>
      </c>
    </row>
    <row r="314" spans="1:14">
      <c r="A314" s="145" t="str">
        <f>IF(C314="","",VLOOKUP('Opći dio'!$C$3,'Opći dio'!$L$6:$U$136,10,FALSE))</f>
        <v/>
      </c>
      <c r="B314" s="145" t="str">
        <f>IF(C314="","",VLOOKUP('Opći dio'!$C$3,'Opći dio'!$L$6:$U$136,9,FALSE))</f>
        <v/>
      </c>
      <c r="C314" s="151"/>
      <c r="D314" s="146" t="str">
        <f t="shared" si="33"/>
        <v/>
      </c>
      <c r="E314" s="151"/>
      <c r="F314" s="146" t="str">
        <f t="shared" si="34"/>
        <v/>
      </c>
      <c r="G314" s="186"/>
      <c r="H314" s="146" t="str">
        <f t="shared" si="35"/>
        <v/>
      </c>
      <c r="I314" s="185"/>
      <c r="J314" s="185"/>
      <c r="K314" s="185"/>
      <c r="M314" s="141" t="str">
        <f t="shared" si="36"/>
        <v/>
      </c>
      <c r="N314" s="141" t="str">
        <f t="shared" si="37"/>
        <v/>
      </c>
    </row>
    <row r="315" spans="1:14">
      <c r="A315" s="145" t="str">
        <f>IF(C315="","",VLOOKUP('Opći dio'!$C$3,'Opći dio'!$L$6:$U$136,10,FALSE))</f>
        <v/>
      </c>
      <c r="B315" s="145" t="str">
        <f>IF(C315="","",VLOOKUP('Opći dio'!$C$3,'Opći dio'!$L$6:$U$136,9,FALSE))</f>
        <v/>
      </c>
      <c r="C315" s="151"/>
      <c r="D315" s="146" t="str">
        <f t="shared" si="33"/>
        <v/>
      </c>
      <c r="E315" s="151"/>
      <c r="F315" s="146" t="str">
        <f t="shared" si="34"/>
        <v/>
      </c>
      <c r="G315" s="186"/>
      <c r="H315" s="146" t="str">
        <f t="shared" si="35"/>
        <v/>
      </c>
      <c r="I315" s="185"/>
      <c r="J315" s="185"/>
      <c r="K315" s="185"/>
      <c r="M315" s="141" t="str">
        <f t="shared" si="36"/>
        <v/>
      </c>
      <c r="N315" s="141" t="str">
        <f t="shared" si="37"/>
        <v/>
      </c>
    </row>
    <row r="316" spans="1:14">
      <c r="A316" s="145" t="str">
        <f>IF(C316="","",VLOOKUP('Opći dio'!$C$3,'Opći dio'!$L$6:$U$136,10,FALSE))</f>
        <v/>
      </c>
      <c r="B316" s="145" t="str">
        <f>IF(C316="","",VLOOKUP('Opći dio'!$C$3,'Opći dio'!$L$6:$U$136,9,FALSE))</f>
        <v/>
      </c>
      <c r="C316" s="151"/>
      <c r="D316" s="146" t="str">
        <f t="shared" si="33"/>
        <v/>
      </c>
      <c r="E316" s="151"/>
      <c r="F316" s="146" t="str">
        <f t="shared" si="34"/>
        <v/>
      </c>
      <c r="G316" s="186"/>
      <c r="H316" s="146" t="str">
        <f t="shared" si="35"/>
        <v/>
      </c>
      <c r="I316" s="185"/>
      <c r="J316" s="185"/>
      <c r="K316" s="185"/>
      <c r="M316" s="141" t="str">
        <f t="shared" si="36"/>
        <v/>
      </c>
      <c r="N316" s="141" t="str">
        <f t="shared" si="37"/>
        <v/>
      </c>
    </row>
    <row r="317" spans="1:14">
      <c r="A317" s="145" t="str">
        <f>IF(C317="","",VLOOKUP('Opći dio'!$C$3,'Opći dio'!$L$6:$U$136,10,FALSE))</f>
        <v/>
      </c>
      <c r="B317" s="145" t="str">
        <f>IF(C317="","",VLOOKUP('Opći dio'!$C$3,'Opći dio'!$L$6:$U$136,9,FALSE))</f>
        <v/>
      </c>
      <c r="C317" s="151"/>
      <c r="D317" s="146" t="str">
        <f t="shared" si="33"/>
        <v/>
      </c>
      <c r="E317" s="151"/>
      <c r="F317" s="146" t="str">
        <f t="shared" si="34"/>
        <v/>
      </c>
      <c r="G317" s="186"/>
      <c r="H317" s="146" t="str">
        <f t="shared" si="35"/>
        <v/>
      </c>
      <c r="I317" s="185"/>
      <c r="J317" s="185"/>
      <c r="K317" s="185"/>
      <c r="M317" s="141" t="str">
        <f t="shared" si="36"/>
        <v/>
      </c>
      <c r="N317" s="141" t="str">
        <f t="shared" si="37"/>
        <v/>
      </c>
    </row>
    <row r="318" spans="1:14">
      <c r="A318" s="145" t="str">
        <f>IF(C318="","",VLOOKUP('Opći dio'!$C$3,'Opći dio'!$L$6:$U$136,10,FALSE))</f>
        <v/>
      </c>
      <c r="B318" s="145" t="str">
        <f>IF(C318="","",VLOOKUP('Opći dio'!$C$3,'Opći dio'!$L$6:$U$136,9,FALSE))</f>
        <v/>
      </c>
      <c r="C318" s="151"/>
      <c r="D318" s="146" t="str">
        <f t="shared" si="33"/>
        <v/>
      </c>
      <c r="E318" s="151"/>
      <c r="F318" s="146" t="str">
        <f t="shared" si="34"/>
        <v/>
      </c>
      <c r="G318" s="186"/>
      <c r="H318" s="146" t="str">
        <f t="shared" si="35"/>
        <v/>
      </c>
      <c r="I318" s="185"/>
      <c r="J318" s="185"/>
      <c r="K318" s="185"/>
      <c r="M318" s="141" t="str">
        <f t="shared" si="36"/>
        <v/>
      </c>
      <c r="N318" s="141" t="str">
        <f t="shared" si="37"/>
        <v/>
      </c>
    </row>
    <row r="319" spans="1:14">
      <c r="A319" s="145" t="str">
        <f>IF(C319="","",VLOOKUP('Opći dio'!$C$3,'Opći dio'!$L$6:$U$136,10,FALSE))</f>
        <v/>
      </c>
      <c r="B319" s="145" t="str">
        <f>IF(C319="","",VLOOKUP('Opći dio'!$C$3,'Opći dio'!$L$6:$U$136,9,FALSE))</f>
        <v/>
      </c>
      <c r="C319" s="151"/>
      <c r="D319" s="146" t="str">
        <f t="shared" si="33"/>
        <v/>
      </c>
      <c r="E319" s="151"/>
      <c r="F319" s="146" t="str">
        <f t="shared" si="34"/>
        <v/>
      </c>
      <c r="G319" s="186"/>
      <c r="H319" s="146" t="str">
        <f t="shared" si="35"/>
        <v/>
      </c>
      <c r="I319" s="185"/>
      <c r="J319" s="185"/>
      <c r="K319" s="185"/>
      <c r="M319" s="141" t="str">
        <f t="shared" si="36"/>
        <v/>
      </c>
      <c r="N319" s="141" t="str">
        <f t="shared" si="37"/>
        <v/>
      </c>
    </row>
    <row r="320" spans="1:14">
      <c r="A320" s="145" t="str">
        <f>IF(C320="","",VLOOKUP('Opći dio'!$C$3,'Opći dio'!$L$6:$U$136,10,FALSE))</f>
        <v/>
      </c>
      <c r="B320" s="145" t="str">
        <f>IF(C320="","",VLOOKUP('Opći dio'!$C$3,'Opći dio'!$L$6:$U$136,9,FALSE))</f>
        <v/>
      </c>
      <c r="C320" s="151"/>
      <c r="D320" s="146" t="str">
        <f t="shared" si="33"/>
        <v/>
      </c>
      <c r="E320" s="151"/>
      <c r="F320" s="146" t="str">
        <f t="shared" si="34"/>
        <v/>
      </c>
      <c r="G320" s="186"/>
      <c r="H320" s="146" t="str">
        <f t="shared" si="35"/>
        <v/>
      </c>
      <c r="I320" s="185"/>
      <c r="J320" s="185"/>
      <c r="K320" s="185"/>
      <c r="M320" s="141" t="str">
        <f t="shared" si="36"/>
        <v/>
      </c>
      <c r="N320" s="141" t="str">
        <f t="shared" si="37"/>
        <v/>
      </c>
    </row>
    <row r="321" spans="1:14">
      <c r="A321" s="145" t="str">
        <f>IF(C321="","",VLOOKUP('Opći dio'!$C$3,'Opći dio'!$L$6:$U$136,10,FALSE))</f>
        <v/>
      </c>
      <c r="B321" s="145" t="str">
        <f>IF(C321="","",VLOOKUP('Opći dio'!$C$3,'Opći dio'!$L$6:$U$136,9,FALSE))</f>
        <v/>
      </c>
      <c r="C321" s="151"/>
      <c r="D321" s="146" t="str">
        <f t="shared" si="33"/>
        <v/>
      </c>
      <c r="E321" s="151"/>
      <c r="F321" s="146" t="str">
        <f t="shared" si="34"/>
        <v/>
      </c>
      <c r="G321" s="186"/>
      <c r="H321" s="146" t="str">
        <f t="shared" si="35"/>
        <v/>
      </c>
      <c r="I321" s="185"/>
      <c r="J321" s="185"/>
      <c r="K321" s="185"/>
      <c r="M321" s="141" t="str">
        <f t="shared" si="36"/>
        <v/>
      </c>
      <c r="N321" s="141" t="str">
        <f t="shared" si="37"/>
        <v/>
      </c>
    </row>
    <row r="322" spans="1:14">
      <c r="A322" s="145" t="str">
        <f>IF(C322="","",VLOOKUP('Opći dio'!$C$3,'Opći dio'!$L$6:$U$136,10,FALSE))</f>
        <v/>
      </c>
      <c r="B322" s="145" t="str">
        <f>IF(C322="","",VLOOKUP('Opći dio'!$C$3,'Opći dio'!$L$6:$U$136,9,FALSE))</f>
        <v/>
      </c>
      <c r="C322" s="151"/>
      <c r="D322" s="146" t="str">
        <f t="shared" si="33"/>
        <v/>
      </c>
      <c r="E322" s="151"/>
      <c r="F322" s="146" t="str">
        <f t="shared" si="34"/>
        <v/>
      </c>
      <c r="G322" s="186"/>
      <c r="H322" s="146" t="str">
        <f t="shared" si="35"/>
        <v/>
      </c>
      <c r="I322" s="185"/>
      <c r="J322" s="185"/>
      <c r="K322" s="185"/>
      <c r="M322" s="141" t="str">
        <f t="shared" si="36"/>
        <v/>
      </c>
      <c r="N322" s="141" t="str">
        <f t="shared" si="37"/>
        <v/>
      </c>
    </row>
    <row r="323" spans="1:14">
      <c r="A323" s="145" t="str">
        <f>IF(C323="","",VLOOKUP('Opći dio'!$C$3,'Opći dio'!$L$6:$U$136,10,FALSE))</f>
        <v/>
      </c>
      <c r="B323" s="145" t="str">
        <f>IF(C323="","",VLOOKUP('Opći dio'!$C$3,'Opći dio'!$L$6:$U$136,9,FALSE))</f>
        <v/>
      </c>
      <c r="C323" s="151"/>
      <c r="D323" s="146" t="str">
        <f t="shared" si="33"/>
        <v/>
      </c>
      <c r="E323" s="151"/>
      <c r="F323" s="146" t="str">
        <f t="shared" si="34"/>
        <v/>
      </c>
      <c r="G323" s="186"/>
      <c r="H323" s="146" t="str">
        <f t="shared" si="35"/>
        <v/>
      </c>
      <c r="I323" s="185"/>
      <c r="J323" s="185"/>
      <c r="K323" s="185"/>
      <c r="M323" s="141" t="str">
        <f t="shared" si="36"/>
        <v/>
      </c>
      <c r="N323" s="141" t="str">
        <f t="shared" si="37"/>
        <v/>
      </c>
    </row>
    <row r="324" spans="1:14">
      <c r="A324" s="145" t="str">
        <f>IF(C324="","",VLOOKUP('Opći dio'!$C$3,'Opći dio'!$L$6:$U$136,10,FALSE))</f>
        <v/>
      </c>
      <c r="B324" s="145" t="str">
        <f>IF(C324="","",VLOOKUP('Opći dio'!$C$3,'Opći dio'!$L$6:$U$136,9,FALSE))</f>
        <v/>
      </c>
      <c r="C324" s="151"/>
      <c r="D324" s="146" t="str">
        <f t="shared" ref="D324:D387" si="38">IFERROR(VLOOKUP(C324,$O$6:$P$23,2,FALSE),"")</f>
        <v/>
      </c>
      <c r="E324" s="151"/>
      <c r="F324" s="146" t="str">
        <f t="shared" ref="F324:F387" si="39">IFERROR(VLOOKUP(E324,$R$5:$T$129,2,FALSE),"")</f>
        <v/>
      </c>
      <c r="G324" s="186"/>
      <c r="H324" s="146" t="str">
        <f t="shared" ref="H324:H387" si="40">IFERROR(VLOOKUP(G324,$X$6:$Y$200,2,FALSE),"")</f>
        <v/>
      </c>
      <c r="I324" s="185"/>
      <c r="J324" s="185"/>
      <c r="K324" s="185"/>
      <c r="M324" s="141" t="str">
        <f t="shared" ref="M324:M387" si="41">LEFT(E324,3)</f>
        <v/>
      </c>
      <c r="N324" s="141" t="str">
        <f t="shared" ref="N324:N387" si="42">LEFT(E324,2)</f>
        <v/>
      </c>
    </row>
    <row r="325" spans="1:14">
      <c r="A325" s="145" t="str">
        <f>IF(C325="","",VLOOKUP('Opći dio'!$C$3,'Opći dio'!$L$6:$U$136,10,FALSE))</f>
        <v/>
      </c>
      <c r="B325" s="145" t="str">
        <f>IF(C325="","",VLOOKUP('Opći dio'!$C$3,'Opći dio'!$L$6:$U$136,9,FALSE))</f>
        <v/>
      </c>
      <c r="C325" s="151"/>
      <c r="D325" s="146" t="str">
        <f t="shared" si="38"/>
        <v/>
      </c>
      <c r="E325" s="151"/>
      <c r="F325" s="146" t="str">
        <f t="shared" si="39"/>
        <v/>
      </c>
      <c r="G325" s="186"/>
      <c r="H325" s="146" t="str">
        <f t="shared" si="40"/>
        <v/>
      </c>
      <c r="I325" s="185"/>
      <c r="J325" s="185"/>
      <c r="K325" s="185"/>
      <c r="M325" s="141" t="str">
        <f t="shared" si="41"/>
        <v/>
      </c>
      <c r="N325" s="141" t="str">
        <f t="shared" si="42"/>
        <v/>
      </c>
    </row>
    <row r="326" spans="1:14">
      <c r="A326" s="145" t="str">
        <f>IF(C326="","",VLOOKUP('Opći dio'!$C$3,'Opći dio'!$L$6:$U$136,10,FALSE))</f>
        <v/>
      </c>
      <c r="B326" s="145" t="str">
        <f>IF(C326="","",VLOOKUP('Opći dio'!$C$3,'Opći dio'!$L$6:$U$136,9,FALSE))</f>
        <v/>
      </c>
      <c r="C326" s="151"/>
      <c r="D326" s="146" t="str">
        <f t="shared" si="38"/>
        <v/>
      </c>
      <c r="E326" s="151"/>
      <c r="F326" s="146" t="str">
        <f t="shared" si="39"/>
        <v/>
      </c>
      <c r="G326" s="186"/>
      <c r="H326" s="146" t="str">
        <f t="shared" si="40"/>
        <v/>
      </c>
      <c r="I326" s="185"/>
      <c r="J326" s="185"/>
      <c r="K326" s="185"/>
      <c r="M326" s="141" t="str">
        <f t="shared" si="41"/>
        <v/>
      </c>
      <c r="N326" s="141" t="str">
        <f t="shared" si="42"/>
        <v/>
      </c>
    </row>
    <row r="327" spans="1:14">
      <c r="A327" s="145" t="str">
        <f>IF(C327="","",VLOOKUP('Opći dio'!$C$3,'Opći dio'!$L$6:$U$136,10,FALSE))</f>
        <v/>
      </c>
      <c r="B327" s="145" t="str">
        <f>IF(C327="","",VLOOKUP('Opći dio'!$C$3,'Opći dio'!$L$6:$U$136,9,FALSE))</f>
        <v/>
      </c>
      <c r="C327" s="151"/>
      <c r="D327" s="146" t="str">
        <f t="shared" si="38"/>
        <v/>
      </c>
      <c r="E327" s="151"/>
      <c r="F327" s="146" t="str">
        <f t="shared" si="39"/>
        <v/>
      </c>
      <c r="G327" s="186"/>
      <c r="H327" s="146" t="str">
        <f t="shared" si="40"/>
        <v/>
      </c>
      <c r="I327" s="185"/>
      <c r="J327" s="185"/>
      <c r="K327" s="185"/>
      <c r="M327" s="141" t="str">
        <f t="shared" si="41"/>
        <v/>
      </c>
      <c r="N327" s="141" t="str">
        <f t="shared" si="42"/>
        <v/>
      </c>
    </row>
    <row r="328" spans="1:14">
      <c r="A328" s="145" t="str">
        <f>IF(C328="","",VLOOKUP('Opći dio'!$C$3,'Opći dio'!$L$6:$U$136,10,FALSE))</f>
        <v/>
      </c>
      <c r="B328" s="145" t="str">
        <f>IF(C328="","",VLOOKUP('Opći dio'!$C$3,'Opći dio'!$L$6:$U$136,9,FALSE))</f>
        <v/>
      </c>
      <c r="C328" s="151"/>
      <c r="D328" s="146" t="str">
        <f t="shared" si="38"/>
        <v/>
      </c>
      <c r="E328" s="151"/>
      <c r="F328" s="146" t="str">
        <f t="shared" si="39"/>
        <v/>
      </c>
      <c r="G328" s="186"/>
      <c r="H328" s="146" t="str">
        <f t="shared" si="40"/>
        <v/>
      </c>
      <c r="I328" s="185"/>
      <c r="J328" s="185"/>
      <c r="K328" s="185"/>
      <c r="M328" s="141" t="str">
        <f t="shared" si="41"/>
        <v/>
      </c>
      <c r="N328" s="141" t="str">
        <f t="shared" si="42"/>
        <v/>
      </c>
    </row>
    <row r="329" spans="1:14">
      <c r="A329" s="145" t="str">
        <f>IF(C329="","",VLOOKUP('Opći dio'!$C$3,'Opći dio'!$L$6:$U$136,10,FALSE))</f>
        <v/>
      </c>
      <c r="B329" s="145" t="str">
        <f>IF(C329="","",VLOOKUP('Opći dio'!$C$3,'Opći dio'!$L$6:$U$136,9,FALSE))</f>
        <v/>
      </c>
      <c r="C329" s="151"/>
      <c r="D329" s="146" t="str">
        <f t="shared" si="38"/>
        <v/>
      </c>
      <c r="E329" s="151"/>
      <c r="F329" s="146" t="str">
        <f t="shared" si="39"/>
        <v/>
      </c>
      <c r="G329" s="186"/>
      <c r="H329" s="146" t="str">
        <f t="shared" si="40"/>
        <v/>
      </c>
      <c r="I329" s="185"/>
      <c r="J329" s="185"/>
      <c r="K329" s="185"/>
      <c r="M329" s="141" t="str">
        <f t="shared" si="41"/>
        <v/>
      </c>
      <c r="N329" s="141" t="str">
        <f t="shared" si="42"/>
        <v/>
      </c>
    </row>
    <row r="330" spans="1:14">
      <c r="A330" s="145" t="str">
        <f>IF(C330="","",VLOOKUP('Opći dio'!$C$3,'Opći dio'!$L$6:$U$136,10,FALSE))</f>
        <v/>
      </c>
      <c r="B330" s="145" t="str">
        <f>IF(C330="","",VLOOKUP('Opći dio'!$C$3,'Opći dio'!$L$6:$U$136,9,FALSE))</f>
        <v/>
      </c>
      <c r="C330" s="151"/>
      <c r="D330" s="146" t="str">
        <f t="shared" si="38"/>
        <v/>
      </c>
      <c r="E330" s="151"/>
      <c r="F330" s="146" t="str">
        <f t="shared" si="39"/>
        <v/>
      </c>
      <c r="G330" s="186"/>
      <c r="H330" s="146" t="str">
        <f t="shared" si="40"/>
        <v/>
      </c>
      <c r="I330" s="185"/>
      <c r="J330" s="185"/>
      <c r="K330" s="185"/>
      <c r="M330" s="141" t="str">
        <f t="shared" si="41"/>
        <v/>
      </c>
      <c r="N330" s="141" t="str">
        <f t="shared" si="42"/>
        <v/>
      </c>
    </row>
    <row r="331" spans="1:14">
      <c r="A331" s="145" t="str">
        <f>IF(C331="","",VLOOKUP('Opći dio'!$C$3,'Opći dio'!$L$6:$U$136,10,FALSE))</f>
        <v/>
      </c>
      <c r="B331" s="145" t="str">
        <f>IF(C331="","",VLOOKUP('Opći dio'!$C$3,'Opći dio'!$L$6:$U$136,9,FALSE))</f>
        <v/>
      </c>
      <c r="C331" s="151"/>
      <c r="D331" s="146" t="str">
        <f t="shared" si="38"/>
        <v/>
      </c>
      <c r="E331" s="151"/>
      <c r="F331" s="146" t="str">
        <f t="shared" si="39"/>
        <v/>
      </c>
      <c r="G331" s="186"/>
      <c r="H331" s="146" t="str">
        <f t="shared" si="40"/>
        <v/>
      </c>
      <c r="I331" s="185"/>
      <c r="J331" s="185"/>
      <c r="K331" s="185"/>
      <c r="M331" s="141" t="str">
        <f t="shared" si="41"/>
        <v/>
      </c>
      <c r="N331" s="141" t="str">
        <f t="shared" si="42"/>
        <v/>
      </c>
    </row>
    <row r="332" spans="1:14">
      <c r="A332" s="145" t="str">
        <f>IF(C332="","",VLOOKUP('Opći dio'!$C$3,'Opći dio'!$L$6:$U$136,10,FALSE))</f>
        <v/>
      </c>
      <c r="B332" s="145" t="str">
        <f>IF(C332="","",VLOOKUP('Opći dio'!$C$3,'Opći dio'!$L$6:$U$136,9,FALSE))</f>
        <v/>
      </c>
      <c r="C332" s="151"/>
      <c r="D332" s="146" t="str">
        <f t="shared" si="38"/>
        <v/>
      </c>
      <c r="E332" s="151"/>
      <c r="F332" s="146" t="str">
        <f t="shared" si="39"/>
        <v/>
      </c>
      <c r="G332" s="186"/>
      <c r="H332" s="146" t="str">
        <f t="shared" si="40"/>
        <v/>
      </c>
      <c r="I332" s="185"/>
      <c r="J332" s="185"/>
      <c r="K332" s="185"/>
      <c r="M332" s="141" t="str">
        <f t="shared" si="41"/>
        <v/>
      </c>
      <c r="N332" s="141" t="str">
        <f t="shared" si="42"/>
        <v/>
      </c>
    </row>
    <row r="333" spans="1:14">
      <c r="A333" s="145" t="str">
        <f>IF(C333="","",VLOOKUP('Opći dio'!$C$3,'Opći dio'!$L$6:$U$136,10,FALSE))</f>
        <v/>
      </c>
      <c r="B333" s="145" t="str">
        <f>IF(C333="","",VLOOKUP('Opći dio'!$C$3,'Opći dio'!$L$6:$U$136,9,FALSE))</f>
        <v/>
      </c>
      <c r="C333" s="151"/>
      <c r="D333" s="146" t="str">
        <f t="shared" si="38"/>
        <v/>
      </c>
      <c r="E333" s="151"/>
      <c r="F333" s="146" t="str">
        <f t="shared" si="39"/>
        <v/>
      </c>
      <c r="G333" s="186"/>
      <c r="H333" s="146" t="str">
        <f t="shared" si="40"/>
        <v/>
      </c>
      <c r="I333" s="185"/>
      <c r="J333" s="185"/>
      <c r="K333" s="185"/>
      <c r="M333" s="141" t="str">
        <f t="shared" si="41"/>
        <v/>
      </c>
      <c r="N333" s="141" t="str">
        <f t="shared" si="42"/>
        <v/>
      </c>
    </row>
    <row r="334" spans="1:14">
      <c r="A334" s="145" t="str">
        <f>IF(C334="","",VLOOKUP('Opći dio'!$C$3,'Opći dio'!$L$6:$U$136,10,FALSE))</f>
        <v/>
      </c>
      <c r="B334" s="145" t="str">
        <f>IF(C334="","",VLOOKUP('Opći dio'!$C$3,'Opći dio'!$L$6:$U$136,9,FALSE))</f>
        <v/>
      </c>
      <c r="C334" s="151"/>
      <c r="D334" s="146" t="str">
        <f t="shared" si="38"/>
        <v/>
      </c>
      <c r="E334" s="151"/>
      <c r="F334" s="146" t="str">
        <f t="shared" si="39"/>
        <v/>
      </c>
      <c r="G334" s="186"/>
      <c r="H334" s="146" t="str">
        <f t="shared" si="40"/>
        <v/>
      </c>
      <c r="I334" s="185"/>
      <c r="J334" s="185"/>
      <c r="K334" s="185"/>
      <c r="M334" s="141" t="str">
        <f t="shared" si="41"/>
        <v/>
      </c>
      <c r="N334" s="141" t="str">
        <f t="shared" si="42"/>
        <v/>
      </c>
    </row>
    <row r="335" spans="1:14">
      <c r="A335" s="145" t="str">
        <f>IF(C335="","",VLOOKUP('Opći dio'!$C$3,'Opći dio'!$L$6:$U$136,10,FALSE))</f>
        <v/>
      </c>
      <c r="B335" s="145" t="str">
        <f>IF(C335="","",VLOOKUP('Opći dio'!$C$3,'Opći dio'!$L$6:$U$136,9,FALSE))</f>
        <v/>
      </c>
      <c r="C335" s="151"/>
      <c r="D335" s="146" t="str">
        <f t="shared" si="38"/>
        <v/>
      </c>
      <c r="E335" s="151"/>
      <c r="F335" s="146" t="str">
        <f t="shared" si="39"/>
        <v/>
      </c>
      <c r="G335" s="186"/>
      <c r="H335" s="146" t="str">
        <f t="shared" si="40"/>
        <v/>
      </c>
      <c r="I335" s="185"/>
      <c r="J335" s="185"/>
      <c r="K335" s="185"/>
      <c r="M335" s="141" t="str">
        <f t="shared" si="41"/>
        <v/>
      </c>
      <c r="N335" s="141" t="str">
        <f t="shared" si="42"/>
        <v/>
      </c>
    </row>
    <row r="336" spans="1:14">
      <c r="A336" s="145" t="str">
        <f>IF(C336="","",VLOOKUP('Opći dio'!$C$3,'Opći dio'!$L$6:$U$136,10,FALSE))</f>
        <v/>
      </c>
      <c r="B336" s="145" t="str">
        <f>IF(C336="","",VLOOKUP('Opći dio'!$C$3,'Opći dio'!$L$6:$U$136,9,FALSE))</f>
        <v/>
      </c>
      <c r="C336" s="151"/>
      <c r="D336" s="146" t="str">
        <f t="shared" si="38"/>
        <v/>
      </c>
      <c r="E336" s="151"/>
      <c r="F336" s="146" t="str">
        <f t="shared" si="39"/>
        <v/>
      </c>
      <c r="G336" s="186"/>
      <c r="H336" s="146" t="str">
        <f t="shared" si="40"/>
        <v/>
      </c>
      <c r="I336" s="185"/>
      <c r="J336" s="185"/>
      <c r="K336" s="185"/>
      <c r="M336" s="141" t="str">
        <f t="shared" si="41"/>
        <v/>
      </c>
      <c r="N336" s="141" t="str">
        <f t="shared" si="42"/>
        <v/>
      </c>
    </row>
    <row r="337" spans="1:14">
      <c r="A337" s="145" t="str">
        <f>IF(C337="","",VLOOKUP('Opći dio'!$C$3,'Opći dio'!$L$6:$U$136,10,FALSE))</f>
        <v/>
      </c>
      <c r="B337" s="145" t="str">
        <f>IF(C337="","",VLOOKUP('Opći dio'!$C$3,'Opći dio'!$L$6:$U$136,9,FALSE))</f>
        <v/>
      </c>
      <c r="C337" s="151"/>
      <c r="D337" s="146" t="str">
        <f t="shared" si="38"/>
        <v/>
      </c>
      <c r="E337" s="151"/>
      <c r="F337" s="146" t="str">
        <f t="shared" si="39"/>
        <v/>
      </c>
      <c r="G337" s="186"/>
      <c r="H337" s="146" t="str">
        <f t="shared" si="40"/>
        <v/>
      </c>
      <c r="I337" s="185"/>
      <c r="J337" s="185"/>
      <c r="K337" s="185"/>
      <c r="M337" s="141" t="str">
        <f t="shared" si="41"/>
        <v/>
      </c>
      <c r="N337" s="141" t="str">
        <f t="shared" si="42"/>
        <v/>
      </c>
    </row>
    <row r="338" spans="1:14">
      <c r="A338" s="145" t="str">
        <f>IF(C338="","",VLOOKUP('Opći dio'!$C$3,'Opći dio'!$L$6:$U$136,10,FALSE))</f>
        <v/>
      </c>
      <c r="B338" s="145" t="str">
        <f>IF(C338="","",VLOOKUP('Opći dio'!$C$3,'Opći dio'!$L$6:$U$136,9,FALSE))</f>
        <v/>
      </c>
      <c r="C338" s="151"/>
      <c r="D338" s="146" t="str">
        <f t="shared" si="38"/>
        <v/>
      </c>
      <c r="E338" s="151"/>
      <c r="F338" s="146" t="str">
        <f t="shared" si="39"/>
        <v/>
      </c>
      <c r="G338" s="186"/>
      <c r="H338" s="146" t="str">
        <f t="shared" si="40"/>
        <v/>
      </c>
      <c r="I338" s="185"/>
      <c r="J338" s="185"/>
      <c r="K338" s="185"/>
      <c r="M338" s="141" t="str">
        <f t="shared" si="41"/>
        <v/>
      </c>
      <c r="N338" s="141" t="str">
        <f t="shared" si="42"/>
        <v/>
      </c>
    </row>
    <row r="339" spans="1:14">
      <c r="A339" s="145" t="str">
        <f>IF(C339="","",VLOOKUP('Opći dio'!$C$3,'Opći dio'!$L$6:$U$136,10,FALSE))</f>
        <v/>
      </c>
      <c r="B339" s="145" t="str">
        <f>IF(C339="","",VLOOKUP('Opći dio'!$C$3,'Opći dio'!$L$6:$U$136,9,FALSE))</f>
        <v/>
      </c>
      <c r="C339" s="151"/>
      <c r="D339" s="146" t="str">
        <f t="shared" si="38"/>
        <v/>
      </c>
      <c r="E339" s="151"/>
      <c r="F339" s="146" t="str">
        <f t="shared" si="39"/>
        <v/>
      </c>
      <c r="G339" s="186"/>
      <c r="H339" s="146" t="str">
        <f t="shared" si="40"/>
        <v/>
      </c>
      <c r="I339" s="185"/>
      <c r="J339" s="185"/>
      <c r="K339" s="185"/>
      <c r="M339" s="141" t="str">
        <f t="shared" si="41"/>
        <v/>
      </c>
      <c r="N339" s="141" t="str">
        <f t="shared" si="42"/>
        <v/>
      </c>
    </row>
    <row r="340" spans="1:14">
      <c r="A340" s="145" t="str">
        <f>IF(C340="","",VLOOKUP('Opći dio'!$C$3,'Opći dio'!$L$6:$U$136,10,FALSE))</f>
        <v/>
      </c>
      <c r="B340" s="145" t="str">
        <f>IF(C340="","",VLOOKUP('Opći dio'!$C$3,'Opći dio'!$L$6:$U$136,9,FALSE))</f>
        <v/>
      </c>
      <c r="C340" s="151"/>
      <c r="D340" s="146" t="str">
        <f t="shared" si="38"/>
        <v/>
      </c>
      <c r="E340" s="151"/>
      <c r="F340" s="146" t="str">
        <f t="shared" si="39"/>
        <v/>
      </c>
      <c r="G340" s="186"/>
      <c r="H340" s="146" t="str">
        <f t="shared" si="40"/>
        <v/>
      </c>
      <c r="I340" s="185"/>
      <c r="J340" s="185"/>
      <c r="K340" s="185"/>
      <c r="M340" s="141" t="str">
        <f t="shared" si="41"/>
        <v/>
      </c>
      <c r="N340" s="141" t="str">
        <f t="shared" si="42"/>
        <v/>
      </c>
    </row>
    <row r="341" spans="1:14">
      <c r="A341" s="145" t="str">
        <f>IF(C341="","",VLOOKUP('Opći dio'!$C$3,'Opći dio'!$L$6:$U$136,10,FALSE))</f>
        <v/>
      </c>
      <c r="B341" s="145" t="str">
        <f>IF(C341="","",VLOOKUP('Opći dio'!$C$3,'Opći dio'!$L$6:$U$136,9,FALSE))</f>
        <v/>
      </c>
      <c r="C341" s="151"/>
      <c r="D341" s="146" t="str">
        <f t="shared" si="38"/>
        <v/>
      </c>
      <c r="E341" s="151"/>
      <c r="F341" s="146" t="str">
        <f t="shared" si="39"/>
        <v/>
      </c>
      <c r="G341" s="186"/>
      <c r="H341" s="146" t="str">
        <f t="shared" si="40"/>
        <v/>
      </c>
      <c r="I341" s="185"/>
      <c r="J341" s="185"/>
      <c r="K341" s="185"/>
      <c r="M341" s="141" t="str">
        <f t="shared" si="41"/>
        <v/>
      </c>
      <c r="N341" s="141" t="str">
        <f t="shared" si="42"/>
        <v/>
      </c>
    </row>
    <row r="342" spans="1:14">
      <c r="A342" s="145" t="str">
        <f>IF(C342="","",VLOOKUP('Opći dio'!$C$3,'Opći dio'!$L$6:$U$136,10,FALSE))</f>
        <v/>
      </c>
      <c r="B342" s="145" t="str">
        <f>IF(C342="","",VLOOKUP('Opći dio'!$C$3,'Opći dio'!$L$6:$U$136,9,FALSE))</f>
        <v/>
      </c>
      <c r="C342" s="151"/>
      <c r="D342" s="146" t="str">
        <f t="shared" si="38"/>
        <v/>
      </c>
      <c r="E342" s="151"/>
      <c r="F342" s="146" t="str">
        <f t="shared" si="39"/>
        <v/>
      </c>
      <c r="G342" s="186"/>
      <c r="H342" s="146" t="str">
        <f t="shared" si="40"/>
        <v/>
      </c>
      <c r="I342" s="185"/>
      <c r="J342" s="185"/>
      <c r="K342" s="185"/>
      <c r="M342" s="141" t="str">
        <f t="shared" si="41"/>
        <v/>
      </c>
      <c r="N342" s="141" t="str">
        <f t="shared" si="42"/>
        <v/>
      </c>
    </row>
    <row r="343" spans="1:14">
      <c r="A343" s="145" t="str">
        <f>IF(C343="","",VLOOKUP('Opći dio'!$C$3,'Opći dio'!$L$6:$U$136,10,FALSE))</f>
        <v/>
      </c>
      <c r="B343" s="145" t="str">
        <f>IF(C343="","",VLOOKUP('Opći dio'!$C$3,'Opći dio'!$L$6:$U$136,9,FALSE))</f>
        <v/>
      </c>
      <c r="C343" s="151"/>
      <c r="D343" s="146" t="str">
        <f t="shared" si="38"/>
        <v/>
      </c>
      <c r="E343" s="151"/>
      <c r="F343" s="146" t="str">
        <f t="shared" si="39"/>
        <v/>
      </c>
      <c r="G343" s="186"/>
      <c r="H343" s="146" t="str">
        <f t="shared" si="40"/>
        <v/>
      </c>
      <c r="I343" s="185"/>
      <c r="J343" s="185"/>
      <c r="K343" s="185"/>
      <c r="M343" s="141" t="str">
        <f t="shared" si="41"/>
        <v/>
      </c>
      <c r="N343" s="141" t="str">
        <f t="shared" si="42"/>
        <v/>
      </c>
    </row>
    <row r="344" spans="1:14">
      <c r="A344" s="145" t="str">
        <f>IF(C344="","",VLOOKUP('Opći dio'!$C$3,'Opći dio'!$L$6:$U$136,10,FALSE))</f>
        <v/>
      </c>
      <c r="B344" s="145" t="str">
        <f>IF(C344="","",VLOOKUP('Opći dio'!$C$3,'Opći dio'!$L$6:$U$136,9,FALSE))</f>
        <v/>
      </c>
      <c r="C344" s="151"/>
      <c r="D344" s="146" t="str">
        <f t="shared" si="38"/>
        <v/>
      </c>
      <c r="E344" s="151"/>
      <c r="F344" s="146" t="str">
        <f t="shared" si="39"/>
        <v/>
      </c>
      <c r="G344" s="186"/>
      <c r="H344" s="146" t="str">
        <f t="shared" si="40"/>
        <v/>
      </c>
      <c r="I344" s="185"/>
      <c r="J344" s="185"/>
      <c r="K344" s="185"/>
      <c r="M344" s="141" t="str">
        <f t="shared" si="41"/>
        <v/>
      </c>
      <c r="N344" s="141" t="str">
        <f t="shared" si="42"/>
        <v/>
      </c>
    </row>
    <row r="345" spans="1:14">
      <c r="A345" s="145" t="str">
        <f>IF(C345="","",VLOOKUP('Opći dio'!$C$3,'Opći dio'!$L$6:$U$136,10,FALSE))</f>
        <v/>
      </c>
      <c r="B345" s="145" t="str">
        <f>IF(C345="","",VLOOKUP('Opći dio'!$C$3,'Opći dio'!$L$6:$U$136,9,FALSE))</f>
        <v/>
      </c>
      <c r="C345" s="151"/>
      <c r="D345" s="146" t="str">
        <f t="shared" si="38"/>
        <v/>
      </c>
      <c r="E345" s="151"/>
      <c r="F345" s="146" t="str">
        <f t="shared" si="39"/>
        <v/>
      </c>
      <c r="G345" s="186"/>
      <c r="H345" s="146" t="str">
        <f t="shared" si="40"/>
        <v/>
      </c>
      <c r="I345" s="185"/>
      <c r="J345" s="185"/>
      <c r="K345" s="185"/>
      <c r="M345" s="141" t="str">
        <f t="shared" si="41"/>
        <v/>
      </c>
      <c r="N345" s="141" t="str">
        <f t="shared" si="42"/>
        <v/>
      </c>
    </row>
    <row r="346" spans="1:14">
      <c r="A346" s="145" t="str">
        <f>IF(C346="","",VLOOKUP('Opći dio'!$C$3,'Opći dio'!$L$6:$U$136,10,FALSE))</f>
        <v/>
      </c>
      <c r="B346" s="145" t="str">
        <f>IF(C346="","",VLOOKUP('Opći dio'!$C$3,'Opći dio'!$L$6:$U$136,9,FALSE))</f>
        <v/>
      </c>
      <c r="C346" s="151"/>
      <c r="D346" s="146" t="str">
        <f t="shared" si="38"/>
        <v/>
      </c>
      <c r="E346" s="151"/>
      <c r="F346" s="146" t="str">
        <f t="shared" si="39"/>
        <v/>
      </c>
      <c r="G346" s="186"/>
      <c r="H346" s="146" t="str">
        <f t="shared" si="40"/>
        <v/>
      </c>
      <c r="I346" s="185"/>
      <c r="J346" s="185"/>
      <c r="K346" s="185"/>
      <c r="M346" s="141" t="str">
        <f t="shared" si="41"/>
        <v/>
      </c>
      <c r="N346" s="141" t="str">
        <f t="shared" si="42"/>
        <v/>
      </c>
    </row>
    <row r="347" spans="1:14">
      <c r="A347" s="145" t="str">
        <f>IF(C347="","",VLOOKUP('Opći dio'!$C$3,'Opći dio'!$L$6:$U$136,10,FALSE))</f>
        <v/>
      </c>
      <c r="B347" s="145" t="str">
        <f>IF(C347="","",VLOOKUP('Opći dio'!$C$3,'Opći dio'!$L$6:$U$136,9,FALSE))</f>
        <v/>
      </c>
      <c r="C347" s="151"/>
      <c r="D347" s="146" t="str">
        <f t="shared" si="38"/>
        <v/>
      </c>
      <c r="E347" s="151"/>
      <c r="F347" s="146" t="str">
        <f t="shared" si="39"/>
        <v/>
      </c>
      <c r="G347" s="186"/>
      <c r="H347" s="146" t="str">
        <f t="shared" si="40"/>
        <v/>
      </c>
      <c r="I347" s="185"/>
      <c r="J347" s="185"/>
      <c r="K347" s="185"/>
      <c r="M347" s="141" t="str">
        <f t="shared" si="41"/>
        <v/>
      </c>
      <c r="N347" s="141" t="str">
        <f t="shared" si="42"/>
        <v/>
      </c>
    </row>
    <row r="348" spans="1:14">
      <c r="A348" s="145" t="str">
        <f>IF(C348="","",VLOOKUP('Opći dio'!$C$3,'Opći dio'!$L$6:$U$136,10,FALSE))</f>
        <v/>
      </c>
      <c r="B348" s="145" t="str">
        <f>IF(C348="","",VLOOKUP('Opći dio'!$C$3,'Opći dio'!$L$6:$U$136,9,FALSE))</f>
        <v/>
      </c>
      <c r="C348" s="151"/>
      <c r="D348" s="146" t="str">
        <f t="shared" si="38"/>
        <v/>
      </c>
      <c r="E348" s="151"/>
      <c r="F348" s="146" t="str">
        <f t="shared" si="39"/>
        <v/>
      </c>
      <c r="G348" s="186"/>
      <c r="H348" s="146" t="str">
        <f t="shared" si="40"/>
        <v/>
      </c>
      <c r="I348" s="185"/>
      <c r="J348" s="185"/>
      <c r="K348" s="185"/>
      <c r="M348" s="141" t="str">
        <f t="shared" si="41"/>
        <v/>
      </c>
      <c r="N348" s="141" t="str">
        <f t="shared" si="42"/>
        <v/>
      </c>
    </row>
    <row r="349" spans="1:14">
      <c r="A349" s="145" t="str">
        <f>IF(C349="","",VLOOKUP('Opći dio'!$C$3,'Opći dio'!$L$6:$U$136,10,FALSE))</f>
        <v/>
      </c>
      <c r="B349" s="145" t="str">
        <f>IF(C349="","",VLOOKUP('Opći dio'!$C$3,'Opći dio'!$L$6:$U$136,9,FALSE))</f>
        <v/>
      </c>
      <c r="C349" s="151"/>
      <c r="D349" s="146" t="str">
        <f t="shared" si="38"/>
        <v/>
      </c>
      <c r="E349" s="151"/>
      <c r="F349" s="146" t="str">
        <f t="shared" si="39"/>
        <v/>
      </c>
      <c r="G349" s="186"/>
      <c r="H349" s="146" t="str">
        <f t="shared" si="40"/>
        <v/>
      </c>
      <c r="I349" s="185"/>
      <c r="J349" s="185"/>
      <c r="K349" s="185"/>
      <c r="M349" s="141" t="str">
        <f t="shared" si="41"/>
        <v/>
      </c>
      <c r="N349" s="141" t="str">
        <f t="shared" si="42"/>
        <v/>
      </c>
    </row>
    <row r="350" spans="1:14">
      <c r="A350" s="145" t="str">
        <f>IF(C350="","",VLOOKUP('Opći dio'!$C$3,'Opći dio'!$L$6:$U$136,10,FALSE))</f>
        <v/>
      </c>
      <c r="B350" s="145" t="str">
        <f>IF(C350="","",VLOOKUP('Opći dio'!$C$3,'Opći dio'!$L$6:$U$136,9,FALSE))</f>
        <v/>
      </c>
      <c r="C350" s="151"/>
      <c r="D350" s="146" t="str">
        <f t="shared" si="38"/>
        <v/>
      </c>
      <c r="E350" s="151"/>
      <c r="F350" s="146" t="str">
        <f t="shared" si="39"/>
        <v/>
      </c>
      <c r="G350" s="186"/>
      <c r="H350" s="146" t="str">
        <f t="shared" si="40"/>
        <v/>
      </c>
      <c r="I350" s="185"/>
      <c r="J350" s="185"/>
      <c r="K350" s="185"/>
      <c r="M350" s="141" t="str">
        <f t="shared" si="41"/>
        <v/>
      </c>
      <c r="N350" s="141" t="str">
        <f t="shared" si="42"/>
        <v/>
      </c>
    </row>
    <row r="351" spans="1:14">
      <c r="A351" s="145" t="str">
        <f>IF(C351="","",VLOOKUP('Opći dio'!$C$3,'Opći dio'!$L$6:$U$136,10,FALSE))</f>
        <v/>
      </c>
      <c r="B351" s="145" t="str">
        <f>IF(C351="","",VLOOKUP('Opći dio'!$C$3,'Opći dio'!$L$6:$U$136,9,FALSE))</f>
        <v/>
      </c>
      <c r="C351" s="151"/>
      <c r="D351" s="146" t="str">
        <f t="shared" si="38"/>
        <v/>
      </c>
      <c r="E351" s="151"/>
      <c r="F351" s="146" t="str">
        <f t="shared" si="39"/>
        <v/>
      </c>
      <c r="G351" s="186"/>
      <c r="H351" s="146" t="str">
        <f t="shared" si="40"/>
        <v/>
      </c>
      <c r="I351" s="185"/>
      <c r="J351" s="185"/>
      <c r="K351" s="185"/>
      <c r="M351" s="141" t="str">
        <f t="shared" si="41"/>
        <v/>
      </c>
      <c r="N351" s="141" t="str">
        <f t="shared" si="42"/>
        <v/>
      </c>
    </row>
    <row r="352" spans="1:14">
      <c r="A352" s="145" t="str">
        <f>IF(C352="","",VLOOKUP('Opći dio'!$C$3,'Opći dio'!$L$6:$U$136,10,FALSE))</f>
        <v/>
      </c>
      <c r="B352" s="145" t="str">
        <f>IF(C352="","",VLOOKUP('Opći dio'!$C$3,'Opći dio'!$L$6:$U$136,9,FALSE))</f>
        <v/>
      </c>
      <c r="C352" s="151"/>
      <c r="D352" s="146" t="str">
        <f t="shared" si="38"/>
        <v/>
      </c>
      <c r="E352" s="151"/>
      <c r="F352" s="146" t="str">
        <f t="shared" si="39"/>
        <v/>
      </c>
      <c r="G352" s="186"/>
      <c r="H352" s="146" t="str">
        <f t="shared" si="40"/>
        <v/>
      </c>
      <c r="I352" s="185"/>
      <c r="J352" s="185"/>
      <c r="K352" s="185"/>
      <c r="M352" s="141" t="str">
        <f t="shared" si="41"/>
        <v/>
      </c>
      <c r="N352" s="141" t="str">
        <f t="shared" si="42"/>
        <v/>
      </c>
    </row>
    <row r="353" spans="1:14">
      <c r="A353" s="145" t="str">
        <f>IF(C353="","",VLOOKUP('Opći dio'!$C$3,'Opći dio'!$L$6:$U$136,10,FALSE))</f>
        <v/>
      </c>
      <c r="B353" s="145" t="str">
        <f>IF(C353="","",VLOOKUP('Opći dio'!$C$3,'Opći dio'!$L$6:$U$136,9,FALSE))</f>
        <v/>
      </c>
      <c r="C353" s="151"/>
      <c r="D353" s="146" t="str">
        <f t="shared" si="38"/>
        <v/>
      </c>
      <c r="E353" s="151"/>
      <c r="F353" s="146" t="str">
        <f t="shared" si="39"/>
        <v/>
      </c>
      <c r="G353" s="186"/>
      <c r="H353" s="146" t="str">
        <f t="shared" si="40"/>
        <v/>
      </c>
      <c r="I353" s="185"/>
      <c r="J353" s="185"/>
      <c r="K353" s="185"/>
      <c r="M353" s="141" t="str">
        <f t="shared" si="41"/>
        <v/>
      </c>
      <c r="N353" s="141" t="str">
        <f t="shared" si="42"/>
        <v/>
      </c>
    </row>
    <row r="354" spans="1:14">
      <c r="A354" s="145" t="str">
        <f>IF(C354="","",VLOOKUP('Opći dio'!$C$3,'Opći dio'!$L$6:$U$136,10,FALSE))</f>
        <v/>
      </c>
      <c r="B354" s="145" t="str">
        <f>IF(C354="","",VLOOKUP('Opći dio'!$C$3,'Opći dio'!$L$6:$U$136,9,FALSE))</f>
        <v/>
      </c>
      <c r="C354" s="151"/>
      <c r="D354" s="146" t="str">
        <f t="shared" si="38"/>
        <v/>
      </c>
      <c r="E354" s="151"/>
      <c r="F354" s="146" t="str">
        <f t="shared" si="39"/>
        <v/>
      </c>
      <c r="G354" s="186"/>
      <c r="H354" s="146" t="str">
        <f t="shared" si="40"/>
        <v/>
      </c>
      <c r="I354" s="185"/>
      <c r="J354" s="185"/>
      <c r="K354" s="185"/>
      <c r="M354" s="141" t="str">
        <f t="shared" si="41"/>
        <v/>
      </c>
      <c r="N354" s="141" t="str">
        <f t="shared" si="42"/>
        <v/>
      </c>
    </row>
    <row r="355" spans="1:14">
      <c r="A355" s="145" t="str">
        <f>IF(C355="","",VLOOKUP('Opći dio'!$C$3,'Opći dio'!$L$6:$U$136,10,FALSE))</f>
        <v/>
      </c>
      <c r="B355" s="145" t="str">
        <f>IF(C355="","",VLOOKUP('Opći dio'!$C$3,'Opći dio'!$L$6:$U$136,9,FALSE))</f>
        <v/>
      </c>
      <c r="C355" s="151"/>
      <c r="D355" s="146" t="str">
        <f t="shared" si="38"/>
        <v/>
      </c>
      <c r="E355" s="151"/>
      <c r="F355" s="146" t="str">
        <f t="shared" si="39"/>
        <v/>
      </c>
      <c r="G355" s="186"/>
      <c r="H355" s="146" t="str">
        <f t="shared" si="40"/>
        <v/>
      </c>
      <c r="I355" s="185"/>
      <c r="J355" s="185"/>
      <c r="K355" s="185"/>
      <c r="M355" s="141" t="str">
        <f t="shared" si="41"/>
        <v/>
      </c>
      <c r="N355" s="141" t="str">
        <f t="shared" si="42"/>
        <v/>
      </c>
    </row>
    <row r="356" spans="1:14">
      <c r="A356" s="145" t="str">
        <f>IF(C356="","",VLOOKUP('Opći dio'!$C$3,'Opći dio'!$L$6:$U$136,10,FALSE))</f>
        <v/>
      </c>
      <c r="B356" s="145" t="str">
        <f>IF(C356="","",VLOOKUP('Opći dio'!$C$3,'Opći dio'!$L$6:$U$136,9,FALSE))</f>
        <v/>
      </c>
      <c r="C356" s="151"/>
      <c r="D356" s="146" t="str">
        <f t="shared" si="38"/>
        <v/>
      </c>
      <c r="E356" s="151"/>
      <c r="F356" s="146" t="str">
        <f t="shared" si="39"/>
        <v/>
      </c>
      <c r="G356" s="186"/>
      <c r="H356" s="146" t="str">
        <f t="shared" si="40"/>
        <v/>
      </c>
      <c r="I356" s="185"/>
      <c r="J356" s="185"/>
      <c r="K356" s="185"/>
      <c r="M356" s="141" t="str">
        <f t="shared" si="41"/>
        <v/>
      </c>
      <c r="N356" s="141" t="str">
        <f t="shared" si="42"/>
        <v/>
      </c>
    </row>
    <row r="357" spans="1:14">
      <c r="A357" s="145" t="str">
        <f>IF(C357="","",VLOOKUP('Opći dio'!$C$3,'Opći dio'!$L$6:$U$136,10,FALSE))</f>
        <v/>
      </c>
      <c r="B357" s="145" t="str">
        <f>IF(C357="","",VLOOKUP('Opći dio'!$C$3,'Opći dio'!$L$6:$U$136,9,FALSE))</f>
        <v/>
      </c>
      <c r="C357" s="151"/>
      <c r="D357" s="146" t="str">
        <f t="shared" si="38"/>
        <v/>
      </c>
      <c r="E357" s="151"/>
      <c r="F357" s="146" t="str">
        <f t="shared" si="39"/>
        <v/>
      </c>
      <c r="G357" s="186"/>
      <c r="H357" s="146" t="str">
        <f t="shared" si="40"/>
        <v/>
      </c>
      <c r="I357" s="185"/>
      <c r="J357" s="185"/>
      <c r="K357" s="185"/>
      <c r="M357" s="141" t="str">
        <f t="shared" si="41"/>
        <v/>
      </c>
      <c r="N357" s="141" t="str">
        <f t="shared" si="42"/>
        <v/>
      </c>
    </row>
    <row r="358" spans="1:14">
      <c r="A358" s="145" t="str">
        <f>IF(C358="","",VLOOKUP('Opći dio'!$C$3,'Opći dio'!$L$6:$U$136,10,FALSE))</f>
        <v/>
      </c>
      <c r="B358" s="145" t="str">
        <f>IF(C358="","",VLOOKUP('Opći dio'!$C$3,'Opći dio'!$L$6:$U$136,9,FALSE))</f>
        <v/>
      </c>
      <c r="C358" s="151"/>
      <c r="D358" s="146" t="str">
        <f t="shared" si="38"/>
        <v/>
      </c>
      <c r="E358" s="151"/>
      <c r="F358" s="146" t="str">
        <f t="shared" si="39"/>
        <v/>
      </c>
      <c r="G358" s="186"/>
      <c r="H358" s="146" t="str">
        <f t="shared" si="40"/>
        <v/>
      </c>
      <c r="I358" s="185"/>
      <c r="J358" s="185"/>
      <c r="K358" s="185"/>
      <c r="M358" s="141" t="str">
        <f t="shared" si="41"/>
        <v/>
      </c>
      <c r="N358" s="141" t="str">
        <f t="shared" si="42"/>
        <v/>
      </c>
    </row>
    <row r="359" spans="1:14">
      <c r="A359" s="145" t="str">
        <f>IF(C359="","",VLOOKUP('Opći dio'!$C$3,'Opći dio'!$L$6:$U$136,10,FALSE))</f>
        <v/>
      </c>
      <c r="B359" s="145" t="str">
        <f>IF(C359="","",VLOOKUP('Opći dio'!$C$3,'Opći dio'!$L$6:$U$136,9,FALSE))</f>
        <v/>
      </c>
      <c r="C359" s="151"/>
      <c r="D359" s="146" t="str">
        <f t="shared" si="38"/>
        <v/>
      </c>
      <c r="E359" s="151"/>
      <c r="F359" s="146" t="str">
        <f t="shared" si="39"/>
        <v/>
      </c>
      <c r="G359" s="186"/>
      <c r="H359" s="146" t="str">
        <f t="shared" si="40"/>
        <v/>
      </c>
      <c r="I359" s="185"/>
      <c r="J359" s="185"/>
      <c r="K359" s="185"/>
      <c r="M359" s="141" t="str">
        <f t="shared" si="41"/>
        <v/>
      </c>
      <c r="N359" s="141" t="str">
        <f t="shared" si="42"/>
        <v/>
      </c>
    </row>
    <row r="360" spans="1:14">
      <c r="A360" s="145" t="str">
        <f>IF(C360="","",VLOOKUP('Opći dio'!$C$3,'Opći dio'!$L$6:$U$136,10,FALSE))</f>
        <v/>
      </c>
      <c r="B360" s="145" t="str">
        <f>IF(C360="","",VLOOKUP('Opći dio'!$C$3,'Opći dio'!$L$6:$U$136,9,FALSE))</f>
        <v/>
      </c>
      <c r="C360" s="151"/>
      <c r="D360" s="146" t="str">
        <f t="shared" si="38"/>
        <v/>
      </c>
      <c r="E360" s="151"/>
      <c r="F360" s="146" t="str">
        <f t="shared" si="39"/>
        <v/>
      </c>
      <c r="G360" s="186"/>
      <c r="H360" s="146" t="str">
        <f t="shared" si="40"/>
        <v/>
      </c>
      <c r="I360" s="185"/>
      <c r="J360" s="185"/>
      <c r="K360" s="185"/>
      <c r="M360" s="141" t="str">
        <f t="shared" si="41"/>
        <v/>
      </c>
      <c r="N360" s="141" t="str">
        <f t="shared" si="42"/>
        <v/>
      </c>
    </row>
    <row r="361" spans="1:14">
      <c r="A361" s="145" t="str">
        <f>IF(C361="","",VLOOKUP('Opći dio'!$C$3,'Opći dio'!$L$6:$U$136,10,FALSE))</f>
        <v/>
      </c>
      <c r="B361" s="145" t="str">
        <f>IF(C361="","",VLOOKUP('Opći dio'!$C$3,'Opći dio'!$L$6:$U$136,9,FALSE))</f>
        <v/>
      </c>
      <c r="C361" s="151"/>
      <c r="D361" s="146" t="str">
        <f t="shared" si="38"/>
        <v/>
      </c>
      <c r="E361" s="151"/>
      <c r="F361" s="146" t="str">
        <f t="shared" si="39"/>
        <v/>
      </c>
      <c r="G361" s="186"/>
      <c r="H361" s="146" t="str">
        <f t="shared" si="40"/>
        <v/>
      </c>
      <c r="I361" s="185"/>
      <c r="J361" s="185"/>
      <c r="K361" s="185"/>
      <c r="M361" s="141" t="str">
        <f t="shared" si="41"/>
        <v/>
      </c>
      <c r="N361" s="141" t="str">
        <f t="shared" si="42"/>
        <v/>
      </c>
    </row>
    <row r="362" spans="1:14">
      <c r="A362" s="145" t="str">
        <f>IF(C362="","",VLOOKUP('Opći dio'!$C$3,'Opći dio'!$L$6:$U$136,10,FALSE))</f>
        <v/>
      </c>
      <c r="B362" s="145" t="str">
        <f>IF(C362="","",VLOOKUP('Opći dio'!$C$3,'Opći dio'!$L$6:$U$136,9,FALSE))</f>
        <v/>
      </c>
      <c r="C362" s="151"/>
      <c r="D362" s="146" t="str">
        <f t="shared" si="38"/>
        <v/>
      </c>
      <c r="E362" s="151"/>
      <c r="F362" s="146" t="str">
        <f t="shared" si="39"/>
        <v/>
      </c>
      <c r="G362" s="186"/>
      <c r="H362" s="146" t="str">
        <f t="shared" si="40"/>
        <v/>
      </c>
      <c r="I362" s="185"/>
      <c r="J362" s="185"/>
      <c r="K362" s="185"/>
      <c r="M362" s="141" t="str">
        <f t="shared" si="41"/>
        <v/>
      </c>
      <c r="N362" s="141" t="str">
        <f t="shared" si="42"/>
        <v/>
      </c>
    </row>
    <row r="363" spans="1:14">
      <c r="A363" s="145" t="str">
        <f>IF(C363="","",VLOOKUP('Opći dio'!$C$3,'Opći dio'!$L$6:$U$136,10,FALSE))</f>
        <v/>
      </c>
      <c r="B363" s="145" t="str">
        <f>IF(C363="","",VLOOKUP('Opći dio'!$C$3,'Opći dio'!$L$6:$U$136,9,FALSE))</f>
        <v/>
      </c>
      <c r="C363" s="151"/>
      <c r="D363" s="146" t="str">
        <f t="shared" si="38"/>
        <v/>
      </c>
      <c r="E363" s="151"/>
      <c r="F363" s="146" t="str">
        <f t="shared" si="39"/>
        <v/>
      </c>
      <c r="G363" s="186"/>
      <c r="H363" s="146" t="str">
        <f t="shared" si="40"/>
        <v/>
      </c>
      <c r="I363" s="185"/>
      <c r="J363" s="185"/>
      <c r="K363" s="185"/>
      <c r="M363" s="141" t="str">
        <f t="shared" si="41"/>
        <v/>
      </c>
      <c r="N363" s="141" t="str">
        <f t="shared" si="42"/>
        <v/>
      </c>
    </row>
    <row r="364" spans="1:14">
      <c r="A364" s="145" t="str">
        <f>IF(C364="","",VLOOKUP('Opći dio'!$C$3,'Opći dio'!$L$6:$U$136,10,FALSE))</f>
        <v/>
      </c>
      <c r="B364" s="145" t="str">
        <f>IF(C364="","",VLOOKUP('Opći dio'!$C$3,'Opći dio'!$L$6:$U$136,9,FALSE))</f>
        <v/>
      </c>
      <c r="C364" s="151"/>
      <c r="D364" s="146" t="str">
        <f t="shared" si="38"/>
        <v/>
      </c>
      <c r="E364" s="151"/>
      <c r="F364" s="146" t="str">
        <f t="shared" si="39"/>
        <v/>
      </c>
      <c r="G364" s="186"/>
      <c r="H364" s="146" t="str">
        <f t="shared" si="40"/>
        <v/>
      </c>
      <c r="I364" s="185"/>
      <c r="J364" s="185"/>
      <c r="K364" s="185"/>
      <c r="M364" s="141" t="str">
        <f t="shared" si="41"/>
        <v/>
      </c>
      <c r="N364" s="141" t="str">
        <f t="shared" si="42"/>
        <v/>
      </c>
    </row>
    <row r="365" spans="1:14">
      <c r="A365" s="145" t="str">
        <f>IF(C365="","",VLOOKUP('Opći dio'!$C$3,'Opći dio'!$L$6:$U$136,10,FALSE))</f>
        <v/>
      </c>
      <c r="B365" s="145" t="str">
        <f>IF(C365="","",VLOOKUP('Opći dio'!$C$3,'Opći dio'!$L$6:$U$136,9,FALSE))</f>
        <v/>
      </c>
      <c r="C365" s="151"/>
      <c r="D365" s="146" t="str">
        <f t="shared" si="38"/>
        <v/>
      </c>
      <c r="E365" s="151"/>
      <c r="F365" s="146" t="str">
        <f t="shared" si="39"/>
        <v/>
      </c>
      <c r="G365" s="186"/>
      <c r="H365" s="146" t="str">
        <f t="shared" si="40"/>
        <v/>
      </c>
      <c r="I365" s="185"/>
      <c r="J365" s="185"/>
      <c r="K365" s="185"/>
      <c r="M365" s="141" t="str">
        <f t="shared" si="41"/>
        <v/>
      </c>
      <c r="N365" s="141" t="str">
        <f t="shared" si="42"/>
        <v/>
      </c>
    </row>
    <row r="366" spans="1:14">
      <c r="A366" s="145" t="str">
        <f>IF(C366="","",VLOOKUP('Opći dio'!$C$3,'Opći dio'!$L$6:$U$136,10,FALSE))</f>
        <v/>
      </c>
      <c r="B366" s="145" t="str">
        <f>IF(C366="","",VLOOKUP('Opći dio'!$C$3,'Opći dio'!$L$6:$U$136,9,FALSE))</f>
        <v/>
      </c>
      <c r="C366" s="151"/>
      <c r="D366" s="146" t="str">
        <f t="shared" si="38"/>
        <v/>
      </c>
      <c r="E366" s="151"/>
      <c r="F366" s="146" t="str">
        <f t="shared" si="39"/>
        <v/>
      </c>
      <c r="G366" s="186"/>
      <c r="H366" s="146" t="str">
        <f t="shared" si="40"/>
        <v/>
      </c>
      <c r="I366" s="185"/>
      <c r="J366" s="185"/>
      <c r="K366" s="185"/>
      <c r="M366" s="141" t="str">
        <f t="shared" si="41"/>
        <v/>
      </c>
      <c r="N366" s="141" t="str">
        <f t="shared" si="42"/>
        <v/>
      </c>
    </row>
    <row r="367" spans="1:14">
      <c r="A367" s="145" t="str">
        <f>IF(C367="","",VLOOKUP('Opći dio'!$C$3,'Opći dio'!$L$6:$U$136,10,FALSE))</f>
        <v/>
      </c>
      <c r="B367" s="145" t="str">
        <f>IF(C367="","",VLOOKUP('Opći dio'!$C$3,'Opći dio'!$L$6:$U$136,9,FALSE))</f>
        <v/>
      </c>
      <c r="C367" s="151"/>
      <c r="D367" s="146" t="str">
        <f t="shared" si="38"/>
        <v/>
      </c>
      <c r="E367" s="151"/>
      <c r="F367" s="146" t="str">
        <f t="shared" si="39"/>
        <v/>
      </c>
      <c r="G367" s="186"/>
      <c r="H367" s="146" t="str">
        <f t="shared" si="40"/>
        <v/>
      </c>
      <c r="I367" s="185"/>
      <c r="J367" s="185"/>
      <c r="K367" s="185"/>
      <c r="M367" s="141" t="str">
        <f t="shared" si="41"/>
        <v/>
      </c>
      <c r="N367" s="141" t="str">
        <f t="shared" si="42"/>
        <v/>
      </c>
    </row>
    <row r="368" spans="1:14">
      <c r="A368" s="145" t="str">
        <f>IF(C368="","",VLOOKUP('Opći dio'!$C$3,'Opći dio'!$L$6:$U$136,10,FALSE))</f>
        <v/>
      </c>
      <c r="B368" s="145" t="str">
        <f>IF(C368="","",VLOOKUP('Opći dio'!$C$3,'Opći dio'!$L$6:$U$136,9,FALSE))</f>
        <v/>
      </c>
      <c r="C368" s="151"/>
      <c r="D368" s="146" t="str">
        <f t="shared" si="38"/>
        <v/>
      </c>
      <c r="E368" s="151"/>
      <c r="F368" s="146" t="str">
        <f t="shared" si="39"/>
        <v/>
      </c>
      <c r="G368" s="186"/>
      <c r="H368" s="146" t="str">
        <f t="shared" si="40"/>
        <v/>
      </c>
      <c r="I368" s="185"/>
      <c r="J368" s="185"/>
      <c r="K368" s="185"/>
      <c r="M368" s="141" t="str">
        <f t="shared" si="41"/>
        <v/>
      </c>
      <c r="N368" s="141" t="str">
        <f t="shared" si="42"/>
        <v/>
      </c>
    </row>
    <row r="369" spans="1:14">
      <c r="A369" s="145" t="str">
        <f>IF(C369="","",VLOOKUP('Opći dio'!$C$3,'Opći dio'!$L$6:$U$136,10,FALSE))</f>
        <v/>
      </c>
      <c r="B369" s="145" t="str">
        <f>IF(C369="","",VLOOKUP('Opći dio'!$C$3,'Opći dio'!$L$6:$U$136,9,FALSE))</f>
        <v/>
      </c>
      <c r="C369" s="151"/>
      <c r="D369" s="146" t="str">
        <f t="shared" si="38"/>
        <v/>
      </c>
      <c r="E369" s="151"/>
      <c r="F369" s="146" t="str">
        <f t="shared" si="39"/>
        <v/>
      </c>
      <c r="G369" s="186"/>
      <c r="H369" s="146" t="str">
        <f t="shared" si="40"/>
        <v/>
      </c>
      <c r="I369" s="185"/>
      <c r="J369" s="185"/>
      <c r="K369" s="185"/>
      <c r="M369" s="141" t="str">
        <f t="shared" si="41"/>
        <v/>
      </c>
      <c r="N369" s="141" t="str">
        <f t="shared" si="42"/>
        <v/>
      </c>
    </row>
    <row r="370" spans="1:14">
      <c r="A370" s="145" t="str">
        <f>IF(C370="","",VLOOKUP('Opći dio'!$C$3,'Opći dio'!$L$6:$U$136,10,FALSE))</f>
        <v/>
      </c>
      <c r="B370" s="145" t="str">
        <f>IF(C370="","",VLOOKUP('Opći dio'!$C$3,'Opći dio'!$L$6:$U$136,9,FALSE))</f>
        <v/>
      </c>
      <c r="C370" s="151"/>
      <c r="D370" s="146" t="str">
        <f t="shared" si="38"/>
        <v/>
      </c>
      <c r="E370" s="151"/>
      <c r="F370" s="146" t="str">
        <f t="shared" si="39"/>
        <v/>
      </c>
      <c r="G370" s="186"/>
      <c r="H370" s="146" t="str">
        <f t="shared" si="40"/>
        <v/>
      </c>
      <c r="I370" s="185"/>
      <c r="J370" s="185"/>
      <c r="K370" s="185"/>
      <c r="M370" s="141" t="str">
        <f t="shared" si="41"/>
        <v/>
      </c>
      <c r="N370" s="141" t="str">
        <f t="shared" si="42"/>
        <v/>
      </c>
    </row>
    <row r="371" spans="1:14">
      <c r="A371" s="145" t="str">
        <f>IF(C371="","",VLOOKUP('Opći dio'!$C$3,'Opći dio'!$L$6:$U$136,10,FALSE))</f>
        <v/>
      </c>
      <c r="B371" s="145" t="str">
        <f>IF(C371="","",VLOOKUP('Opći dio'!$C$3,'Opći dio'!$L$6:$U$136,9,FALSE))</f>
        <v/>
      </c>
      <c r="C371" s="151"/>
      <c r="D371" s="146" t="str">
        <f t="shared" si="38"/>
        <v/>
      </c>
      <c r="E371" s="151"/>
      <c r="F371" s="146" t="str">
        <f t="shared" si="39"/>
        <v/>
      </c>
      <c r="G371" s="186"/>
      <c r="H371" s="146" t="str">
        <f t="shared" si="40"/>
        <v/>
      </c>
      <c r="I371" s="185"/>
      <c r="J371" s="185"/>
      <c r="K371" s="185"/>
      <c r="M371" s="141" t="str">
        <f t="shared" si="41"/>
        <v/>
      </c>
      <c r="N371" s="141" t="str">
        <f t="shared" si="42"/>
        <v/>
      </c>
    </row>
    <row r="372" spans="1:14">
      <c r="A372" s="145" t="str">
        <f>IF(C372="","",VLOOKUP('Opći dio'!$C$3,'Opći dio'!$L$6:$U$136,10,FALSE))</f>
        <v/>
      </c>
      <c r="B372" s="145" t="str">
        <f>IF(C372="","",VLOOKUP('Opći dio'!$C$3,'Opći dio'!$L$6:$U$136,9,FALSE))</f>
        <v/>
      </c>
      <c r="C372" s="151"/>
      <c r="D372" s="146" t="str">
        <f t="shared" si="38"/>
        <v/>
      </c>
      <c r="E372" s="151"/>
      <c r="F372" s="146" t="str">
        <f t="shared" si="39"/>
        <v/>
      </c>
      <c r="G372" s="186"/>
      <c r="H372" s="146" t="str">
        <f t="shared" si="40"/>
        <v/>
      </c>
      <c r="I372" s="185"/>
      <c r="J372" s="185"/>
      <c r="K372" s="185"/>
      <c r="M372" s="141" t="str">
        <f t="shared" si="41"/>
        <v/>
      </c>
      <c r="N372" s="141" t="str">
        <f t="shared" si="42"/>
        <v/>
      </c>
    </row>
    <row r="373" spans="1:14">
      <c r="A373" s="145" t="str">
        <f>IF(C373="","",VLOOKUP('Opći dio'!$C$3,'Opći dio'!$L$6:$U$136,10,FALSE))</f>
        <v/>
      </c>
      <c r="B373" s="145" t="str">
        <f>IF(C373="","",VLOOKUP('Opći dio'!$C$3,'Opći dio'!$L$6:$U$136,9,FALSE))</f>
        <v/>
      </c>
      <c r="C373" s="151"/>
      <c r="D373" s="146" t="str">
        <f t="shared" si="38"/>
        <v/>
      </c>
      <c r="E373" s="151"/>
      <c r="F373" s="146" t="str">
        <f t="shared" si="39"/>
        <v/>
      </c>
      <c r="G373" s="186"/>
      <c r="H373" s="146" t="str">
        <f t="shared" si="40"/>
        <v/>
      </c>
      <c r="I373" s="185"/>
      <c r="J373" s="185"/>
      <c r="K373" s="185"/>
      <c r="M373" s="141" t="str">
        <f t="shared" si="41"/>
        <v/>
      </c>
      <c r="N373" s="141" t="str">
        <f t="shared" si="42"/>
        <v/>
      </c>
    </row>
    <row r="374" spans="1:14">
      <c r="A374" s="145" t="str">
        <f>IF(C374="","",VLOOKUP('Opći dio'!$C$3,'Opći dio'!$L$6:$U$136,10,FALSE))</f>
        <v/>
      </c>
      <c r="B374" s="145" t="str">
        <f>IF(C374="","",VLOOKUP('Opći dio'!$C$3,'Opći dio'!$L$6:$U$136,9,FALSE))</f>
        <v/>
      </c>
      <c r="C374" s="151"/>
      <c r="D374" s="146" t="str">
        <f t="shared" si="38"/>
        <v/>
      </c>
      <c r="E374" s="151"/>
      <c r="F374" s="146" t="str">
        <f t="shared" si="39"/>
        <v/>
      </c>
      <c r="G374" s="186"/>
      <c r="H374" s="146" t="str">
        <f t="shared" si="40"/>
        <v/>
      </c>
      <c r="I374" s="185"/>
      <c r="J374" s="185"/>
      <c r="K374" s="185"/>
      <c r="M374" s="141" t="str">
        <f t="shared" si="41"/>
        <v/>
      </c>
      <c r="N374" s="141" t="str">
        <f t="shared" si="42"/>
        <v/>
      </c>
    </row>
    <row r="375" spans="1:14">
      <c r="A375" s="145" t="str">
        <f>IF(C375="","",VLOOKUP('Opći dio'!$C$3,'Opći dio'!$L$6:$U$136,10,FALSE))</f>
        <v/>
      </c>
      <c r="B375" s="145" t="str">
        <f>IF(C375="","",VLOOKUP('Opći dio'!$C$3,'Opći dio'!$L$6:$U$136,9,FALSE))</f>
        <v/>
      </c>
      <c r="C375" s="151"/>
      <c r="D375" s="146" t="str">
        <f t="shared" si="38"/>
        <v/>
      </c>
      <c r="E375" s="151"/>
      <c r="F375" s="146" t="str">
        <f t="shared" si="39"/>
        <v/>
      </c>
      <c r="G375" s="186"/>
      <c r="H375" s="146" t="str">
        <f t="shared" si="40"/>
        <v/>
      </c>
      <c r="I375" s="185"/>
      <c r="J375" s="185"/>
      <c r="K375" s="185"/>
      <c r="M375" s="141" t="str">
        <f t="shared" si="41"/>
        <v/>
      </c>
      <c r="N375" s="141" t="str">
        <f t="shared" si="42"/>
        <v/>
      </c>
    </row>
    <row r="376" spans="1:14">
      <c r="A376" s="145" t="str">
        <f>IF(C376="","",VLOOKUP('Opći dio'!$C$3,'Opći dio'!$L$6:$U$136,10,FALSE))</f>
        <v/>
      </c>
      <c r="B376" s="145" t="str">
        <f>IF(C376="","",VLOOKUP('Opći dio'!$C$3,'Opći dio'!$L$6:$U$136,9,FALSE))</f>
        <v/>
      </c>
      <c r="C376" s="151"/>
      <c r="D376" s="146" t="str">
        <f t="shared" si="38"/>
        <v/>
      </c>
      <c r="E376" s="151"/>
      <c r="F376" s="146" t="str">
        <f t="shared" si="39"/>
        <v/>
      </c>
      <c r="G376" s="186"/>
      <c r="H376" s="146" t="str">
        <f t="shared" si="40"/>
        <v/>
      </c>
      <c r="I376" s="185"/>
      <c r="J376" s="185"/>
      <c r="K376" s="185"/>
      <c r="M376" s="141" t="str">
        <f t="shared" si="41"/>
        <v/>
      </c>
      <c r="N376" s="141" t="str">
        <f t="shared" si="42"/>
        <v/>
      </c>
    </row>
    <row r="377" spans="1:14">
      <c r="A377" s="145" t="str">
        <f>IF(C377="","",VLOOKUP('Opći dio'!$C$3,'Opći dio'!$L$6:$U$136,10,FALSE))</f>
        <v/>
      </c>
      <c r="B377" s="145" t="str">
        <f>IF(C377="","",VLOOKUP('Opći dio'!$C$3,'Opći dio'!$L$6:$U$136,9,FALSE))</f>
        <v/>
      </c>
      <c r="C377" s="151"/>
      <c r="D377" s="146" t="str">
        <f t="shared" si="38"/>
        <v/>
      </c>
      <c r="E377" s="151"/>
      <c r="F377" s="146" t="str">
        <f t="shared" si="39"/>
        <v/>
      </c>
      <c r="G377" s="186"/>
      <c r="H377" s="146" t="str">
        <f t="shared" si="40"/>
        <v/>
      </c>
      <c r="I377" s="185"/>
      <c r="J377" s="185"/>
      <c r="K377" s="185"/>
      <c r="M377" s="141" t="str">
        <f t="shared" si="41"/>
        <v/>
      </c>
      <c r="N377" s="141" t="str">
        <f t="shared" si="42"/>
        <v/>
      </c>
    </row>
    <row r="378" spans="1:14">
      <c r="A378" s="145" t="str">
        <f>IF(C378="","",VLOOKUP('Opći dio'!$C$3,'Opći dio'!$L$6:$U$136,10,FALSE))</f>
        <v/>
      </c>
      <c r="B378" s="145" t="str">
        <f>IF(C378="","",VLOOKUP('Opći dio'!$C$3,'Opći dio'!$L$6:$U$136,9,FALSE))</f>
        <v/>
      </c>
      <c r="C378" s="151"/>
      <c r="D378" s="146" t="str">
        <f t="shared" si="38"/>
        <v/>
      </c>
      <c r="E378" s="151"/>
      <c r="F378" s="146" t="str">
        <f t="shared" si="39"/>
        <v/>
      </c>
      <c r="G378" s="186"/>
      <c r="H378" s="146" t="str">
        <f t="shared" si="40"/>
        <v/>
      </c>
      <c r="I378" s="185"/>
      <c r="J378" s="185"/>
      <c r="K378" s="185"/>
      <c r="M378" s="141" t="str">
        <f t="shared" si="41"/>
        <v/>
      </c>
      <c r="N378" s="141" t="str">
        <f t="shared" si="42"/>
        <v/>
      </c>
    </row>
    <row r="379" spans="1:14">
      <c r="A379" s="145" t="str">
        <f>IF(C379="","",VLOOKUP('Opći dio'!$C$3,'Opći dio'!$L$6:$U$136,10,FALSE))</f>
        <v/>
      </c>
      <c r="B379" s="145" t="str">
        <f>IF(C379="","",VLOOKUP('Opći dio'!$C$3,'Opći dio'!$L$6:$U$136,9,FALSE))</f>
        <v/>
      </c>
      <c r="C379" s="151"/>
      <c r="D379" s="146" t="str">
        <f t="shared" si="38"/>
        <v/>
      </c>
      <c r="E379" s="151"/>
      <c r="F379" s="146" t="str">
        <f t="shared" si="39"/>
        <v/>
      </c>
      <c r="G379" s="186"/>
      <c r="H379" s="146" t="str">
        <f t="shared" si="40"/>
        <v/>
      </c>
      <c r="I379" s="185"/>
      <c r="J379" s="185"/>
      <c r="K379" s="185"/>
      <c r="M379" s="141" t="str">
        <f t="shared" si="41"/>
        <v/>
      </c>
      <c r="N379" s="141" t="str">
        <f t="shared" si="42"/>
        <v/>
      </c>
    </row>
    <row r="380" spans="1:14">
      <c r="A380" s="145" t="str">
        <f>IF(C380="","",VLOOKUP('Opći dio'!$C$3,'Opći dio'!$L$6:$U$136,10,FALSE))</f>
        <v/>
      </c>
      <c r="B380" s="145" t="str">
        <f>IF(C380="","",VLOOKUP('Opći dio'!$C$3,'Opći dio'!$L$6:$U$136,9,FALSE))</f>
        <v/>
      </c>
      <c r="C380" s="151"/>
      <c r="D380" s="146" t="str">
        <f t="shared" si="38"/>
        <v/>
      </c>
      <c r="E380" s="151"/>
      <c r="F380" s="146" t="str">
        <f t="shared" si="39"/>
        <v/>
      </c>
      <c r="G380" s="186"/>
      <c r="H380" s="146" t="str">
        <f t="shared" si="40"/>
        <v/>
      </c>
      <c r="I380" s="185"/>
      <c r="J380" s="185"/>
      <c r="K380" s="185"/>
      <c r="M380" s="141" t="str">
        <f t="shared" si="41"/>
        <v/>
      </c>
      <c r="N380" s="141" t="str">
        <f t="shared" si="42"/>
        <v/>
      </c>
    </row>
    <row r="381" spans="1:14">
      <c r="A381" s="145" t="str">
        <f>IF(C381="","",VLOOKUP('Opći dio'!$C$3,'Opći dio'!$L$6:$U$136,10,FALSE))</f>
        <v/>
      </c>
      <c r="B381" s="145" t="str">
        <f>IF(C381="","",VLOOKUP('Opći dio'!$C$3,'Opći dio'!$L$6:$U$136,9,FALSE))</f>
        <v/>
      </c>
      <c r="C381" s="151"/>
      <c r="D381" s="146" t="str">
        <f t="shared" si="38"/>
        <v/>
      </c>
      <c r="E381" s="151"/>
      <c r="F381" s="146" t="str">
        <f t="shared" si="39"/>
        <v/>
      </c>
      <c r="G381" s="186"/>
      <c r="H381" s="146" t="str">
        <f t="shared" si="40"/>
        <v/>
      </c>
      <c r="I381" s="185"/>
      <c r="J381" s="185"/>
      <c r="K381" s="185"/>
      <c r="M381" s="141" t="str">
        <f t="shared" si="41"/>
        <v/>
      </c>
      <c r="N381" s="141" t="str">
        <f t="shared" si="42"/>
        <v/>
      </c>
    </row>
    <row r="382" spans="1:14">
      <c r="A382" s="145" t="str">
        <f>IF(C382="","",VLOOKUP('Opći dio'!$C$3,'Opći dio'!$L$6:$U$136,10,FALSE))</f>
        <v/>
      </c>
      <c r="B382" s="145" t="str">
        <f>IF(C382="","",VLOOKUP('Opći dio'!$C$3,'Opći dio'!$L$6:$U$136,9,FALSE))</f>
        <v/>
      </c>
      <c r="C382" s="151"/>
      <c r="D382" s="146" t="str">
        <f t="shared" si="38"/>
        <v/>
      </c>
      <c r="E382" s="151"/>
      <c r="F382" s="146" t="str">
        <f t="shared" si="39"/>
        <v/>
      </c>
      <c r="G382" s="186"/>
      <c r="H382" s="146" t="str">
        <f t="shared" si="40"/>
        <v/>
      </c>
      <c r="I382" s="185"/>
      <c r="J382" s="185"/>
      <c r="K382" s="185"/>
      <c r="M382" s="141" t="str">
        <f t="shared" si="41"/>
        <v/>
      </c>
      <c r="N382" s="141" t="str">
        <f t="shared" si="42"/>
        <v/>
      </c>
    </row>
    <row r="383" spans="1:14">
      <c r="A383" s="145" t="str">
        <f>IF(C383="","",VLOOKUP('Opći dio'!$C$3,'Opći dio'!$L$6:$U$136,10,FALSE))</f>
        <v/>
      </c>
      <c r="B383" s="145" t="str">
        <f>IF(C383="","",VLOOKUP('Opći dio'!$C$3,'Opći dio'!$L$6:$U$136,9,FALSE))</f>
        <v/>
      </c>
      <c r="C383" s="151"/>
      <c r="D383" s="146" t="str">
        <f t="shared" si="38"/>
        <v/>
      </c>
      <c r="E383" s="151"/>
      <c r="F383" s="146" t="str">
        <f t="shared" si="39"/>
        <v/>
      </c>
      <c r="G383" s="186"/>
      <c r="H383" s="146" t="str">
        <f t="shared" si="40"/>
        <v/>
      </c>
      <c r="I383" s="185"/>
      <c r="J383" s="185"/>
      <c r="K383" s="185"/>
      <c r="M383" s="141" t="str">
        <f t="shared" si="41"/>
        <v/>
      </c>
      <c r="N383" s="141" t="str">
        <f t="shared" si="42"/>
        <v/>
      </c>
    </row>
    <row r="384" spans="1:14">
      <c r="A384" s="145" t="str">
        <f>IF(C384="","",VLOOKUP('Opći dio'!$C$3,'Opći dio'!$L$6:$U$136,10,FALSE))</f>
        <v/>
      </c>
      <c r="B384" s="145" t="str">
        <f>IF(C384="","",VLOOKUP('Opći dio'!$C$3,'Opći dio'!$L$6:$U$136,9,FALSE))</f>
        <v/>
      </c>
      <c r="C384" s="151"/>
      <c r="D384" s="146" t="str">
        <f t="shared" si="38"/>
        <v/>
      </c>
      <c r="E384" s="151"/>
      <c r="F384" s="146" t="str">
        <f t="shared" si="39"/>
        <v/>
      </c>
      <c r="G384" s="186"/>
      <c r="H384" s="146" t="str">
        <f t="shared" si="40"/>
        <v/>
      </c>
      <c r="I384" s="185"/>
      <c r="J384" s="185"/>
      <c r="K384" s="185"/>
      <c r="M384" s="141" t="str">
        <f t="shared" si="41"/>
        <v/>
      </c>
      <c r="N384" s="141" t="str">
        <f t="shared" si="42"/>
        <v/>
      </c>
    </row>
    <row r="385" spans="1:14">
      <c r="A385" s="145" t="str">
        <f>IF(C385="","",VLOOKUP('Opći dio'!$C$3,'Opći dio'!$L$6:$U$136,10,FALSE))</f>
        <v/>
      </c>
      <c r="B385" s="145" t="str">
        <f>IF(C385="","",VLOOKUP('Opći dio'!$C$3,'Opći dio'!$L$6:$U$136,9,FALSE))</f>
        <v/>
      </c>
      <c r="C385" s="151"/>
      <c r="D385" s="146" t="str">
        <f t="shared" si="38"/>
        <v/>
      </c>
      <c r="E385" s="151"/>
      <c r="F385" s="146" t="str">
        <f t="shared" si="39"/>
        <v/>
      </c>
      <c r="G385" s="186"/>
      <c r="H385" s="146" t="str">
        <f t="shared" si="40"/>
        <v/>
      </c>
      <c r="I385" s="185"/>
      <c r="J385" s="185"/>
      <c r="K385" s="185"/>
      <c r="M385" s="141" t="str">
        <f t="shared" si="41"/>
        <v/>
      </c>
      <c r="N385" s="141" t="str">
        <f t="shared" si="42"/>
        <v/>
      </c>
    </row>
    <row r="386" spans="1:14">
      <c r="A386" s="145" t="str">
        <f>IF(C386="","",VLOOKUP('Opći dio'!$C$3,'Opći dio'!$L$6:$U$136,10,FALSE))</f>
        <v/>
      </c>
      <c r="B386" s="145" t="str">
        <f>IF(C386="","",VLOOKUP('Opći dio'!$C$3,'Opći dio'!$L$6:$U$136,9,FALSE))</f>
        <v/>
      </c>
      <c r="C386" s="151"/>
      <c r="D386" s="146" t="str">
        <f t="shared" si="38"/>
        <v/>
      </c>
      <c r="E386" s="151"/>
      <c r="F386" s="146" t="str">
        <f t="shared" si="39"/>
        <v/>
      </c>
      <c r="G386" s="186"/>
      <c r="H386" s="146" t="str">
        <f t="shared" si="40"/>
        <v/>
      </c>
      <c r="I386" s="185"/>
      <c r="J386" s="185"/>
      <c r="K386" s="185"/>
      <c r="M386" s="141" t="str">
        <f t="shared" si="41"/>
        <v/>
      </c>
      <c r="N386" s="141" t="str">
        <f t="shared" si="42"/>
        <v/>
      </c>
    </row>
    <row r="387" spans="1:14">
      <c r="A387" s="145" t="str">
        <f>IF(C387="","",VLOOKUP('Opći dio'!$C$3,'Opći dio'!$L$6:$U$136,10,FALSE))</f>
        <v/>
      </c>
      <c r="B387" s="145" t="str">
        <f>IF(C387="","",VLOOKUP('Opći dio'!$C$3,'Opći dio'!$L$6:$U$136,9,FALSE))</f>
        <v/>
      </c>
      <c r="C387" s="151"/>
      <c r="D387" s="146" t="str">
        <f t="shared" si="38"/>
        <v/>
      </c>
      <c r="E387" s="151"/>
      <c r="F387" s="146" t="str">
        <f t="shared" si="39"/>
        <v/>
      </c>
      <c r="G387" s="186"/>
      <c r="H387" s="146" t="str">
        <f t="shared" si="40"/>
        <v/>
      </c>
      <c r="I387" s="185"/>
      <c r="J387" s="185"/>
      <c r="K387" s="185"/>
      <c r="M387" s="141" t="str">
        <f t="shared" si="41"/>
        <v/>
      </c>
      <c r="N387" s="141" t="str">
        <f t="shared" si="42"/>
        <v/>
      </c>
    </row>
    <row r="388" spans="1:14">
      <c r="A388" s="145" t="str">
        <f>IF(C388="","",VLOOKUP('Opći dio'!$C$3,'Opći dio'!$L$6:$U$136,10,FALSE))</f>
        <v/>
      </c>
      <c r="B388" s="145" t="str">
        <f>IF(C388="","",VLOOKUP('Opći dio'!$C$3,'Opći dio'!$L$6:$U$136,9,FALSE))</f>
        <v/>
      </c>
      <c r="C388" s="151"/>
      <c r="D388" s="146" t="str">
        <f t="shared" ref="D388:D451" si="43">IFERROR(VLOOKUP(C388,$O$6:$P$23,2,FALSE),"")</f>
        <v/>
      </c>
      <c r="E388" s="151"/>
      <c r="F388" s="146" t="str">
        <f t="shared" ref="F388:F451" si="44">IFERROR(VLOOKUP(E388,$R$5:$T$129,2,FALSE),"")</f>
        <v/>
      </c>
      <c r="G388" s="186"/>
      <c r="H388" s="146" t="str">
        <f t="shared" ref="H388:H451" si="45">IFERROR(VLOOKUP(G388,$X$6:$Y$200,2,FALSE),"")</f>
        <v/>
      </c>
      <c r="I388" s="185"/>
      <c r="J388" s="185"/>
      <c r="K388" s="185"/>
      <c r="M388" s="141" t="str">
        <f t="shared" ref="M388:M451" si="46">LEFT(E388,3)</f>
        <v/>
      </c>
      <c r="N388" s="141" t="str">
        <f t="shared" ref="N388:N451" si="47">LEFT(E388,2)</f>
        <v/>
      </c>
    </row>
    <row r="389" spans="1:14">
      <c r="A389" s="145" t="str">
        <f>IF(C389="","",VLOOKUP('Opći dio'!$C$3,'Opći dio'!$L$6:$U$136,10,FALSE))</f>
        <v/>
      </c>
      <c r="B389" s="145" t="str">
        <f>IF(C389="","",VLOOKUP('Opći dio'!$C$3,'Opći dio'!$L$6:$U$136,9,FALSE))</f>
        <v/>
      </c>
      <c r="C389" s="151"/>
      <c r="D389" s="146" t="str">
        <f t="shared" si="43"/>
        <v/>
      </c>
      <c r="E389" s="151"/>
      <c r="F389" s="146" t="str">
        <f t="shared" si="44"/>
        <v/>
      </c>
      <c r="G389" s="186"/>
      <c r="H389" s="146" t="str">
        <f t="shared" si="45"/>
        <v/>
      </c>
      <c r="I389" s="185"/>
      <c r="J389" s="185"/>
      <c r="K389" s="185"/>
      <c r="M389" s="141" t="str">
        <f t="shared" si="46"/>
        <v/>
      </c>
      <c r="N389" s="141" t="str">
        <f t="shared" si="47"/>
        <v/>
      </c>
    </row>
    <row r="390" spans="1:14">
      <c r="A390" s="145" t="str">
        <f>IF(C390="","",VLOOKUP('Opći dio'!$C$3,'Opći dio'!$L$6:$U$136,10,FALSE))</f>
        <v/>
      </c>
      <c r="B390" s="145" t="str">
        <f>IF(C390="","",VLOOKUP('Opći dio'!$C$3,'Opći dio'!$L$6:$U$136,9,FALSE))</f>
        <v/>
      </c>
      <c r="C390" s="151"/>
      <c r="D390" s="146" t="str">
        <f t="shared" si="43"/>
        <v/>
      </c>
      <c r="E390" s="151"/>
      <c r="F390" s="146" t="str">
        <f t="shared" si="44"/>
        <v/>
      </c>
      <c r="G390" s="186"/>
      <c r="H390" s="146" t="str">
        <f t="shared" si="45"/>
        <v/>
      </c>
      <c r="I390" s="185"/>
      <c r="J390" s="185"/>
      <c r="K390" s="185"/>
      <c r="M390" s="141" t="str">
        <f t="shared" si="46"/>
        <v/>
      </c>
      <c r="N390" s="141" t="str">
        <f t="shared" si="47"/>
        <v/>
      </c>
    </row>
    <row r="391" spans="1:14">
      <c r="A391" s="145" t="str">
        <f>IF(C391="","",VLOOKUP('Opći dio'!$C$3,'Opći dio'!$L$6:$U$136,10,FALSE))</f>
        <v/>
      </c>
      <c r="B391" s="145" t="str">
        <f>IF(C391="","",VLOOKUP('Opći dio'!$C$3,'Opći dio'!$L$6:$U$136,9,FALSE))</f>
        <v/>
      </c>
      <c r="C391" s="151"/>
      <c r="D391" s="146" t="str">
        <f t="shared" si="43"/>
        <v/>
      </c>
      <c r="E391" s="151"/>
      <c r="F391" s="146" t="str">
        <f t="shared" si="44"/>
        <v/>
      </c>
      <c r="G391" s="186"/>
      <c r="H391" s="146" t="str">
        <f t="shared" si="45"/>
        <v/>
      </c>
      <c r="I391" s="185"/>
      <c r="J391" s="185"/>
      <c r="K391" s="185"/>
      <c r="M391" s="141" t="str">
        <f t="shared" si="46"/>
        <v/>
      </c>
      <c r="N391" s="141" t="str">
        <f t="shared" si="47"/>
        <v/>
      </c>
    </row>
    <row r="392" spans="1:14">
      <c r="A392" s="145" t="str">
        <f>IF(C392="","",VLOOKUP('Opći dio'!$C$3,'Opći dio'!$L$6:$U$136,10,FALSE))</f>
        <v/>
      </c>
      <c r="B392" s="145" t="str">
        <f>IF(C392="","",VLOOKUP('Opći dio'!$C$3,'Opći dio'!$L$6:$U$136,9,FALSE))</f>
        <v/>
      </c>
      <c r="C392" s="151"/>
      <c r="D392" s="146" t="str">
        <f t="shared" si="43"/>
        <v/>
      </c>
      <c r="E392" s="151"/>
      <c r="F392" s="146" t="str">
        <f t="shared" si="44"/>
        <v/>
      </c>
      <c r="G392" s="186"/>
      <c r="H392" s="146" t="str">
        <f t="shared" si="45"/>
        <v/>
      </c>
      <c r="I392" s="185"/>
      <c r="J392" s="185"/>
      <c r="K392" s="185"/>
      <c r="M392" s="141" t="str">
        <f t="shared" si="46"/>
        <v/>
      </c>
      <c r="N392" s="141" t="str">
        <f t="shared" si="47"/>
        <v/>
      </c>
    </row>
    <row r="393" spans="1:14">
      <c r="A393" s="145" t="str">
        <f>IF(C393="","",VLOOKUP('Opći dio'!$C$3,'Opći dio'!$L$6:$U$136,10,FALSE))</f>
        <v/>
      </c>
      <c r="B393" s="145" t="str">
        <f>IF(C393="","",VLOOKUP('Opći dio'!$C$3,'Opći dio'!$L$6:$U$136,9,FALSE))</f>
        <v/>
      </c>
      <c r="C393" s="151"/>
      <c r="D393" s="146" t="str">
        <f t="shared" si="43"/>
        <v/>
      </c>
      <c r="E393" s="151"/>
      <c r="F393" s="146" t="str">
        <f t="shared" si="44"/>
        <v/>
      </c>
      <c r="G393" s="186"/>
      <c r="H393" s="146" t="str">
        <f t="shared" si="45"/>
        <v/>
      </c>
      <c r="I393" s="185"/>
      <c r="J393" s="185"/>
      <c r="K393" s="185"/>
      <c r="M393" s="141" t="str">
        <f t="shared" si="46"/>
        <v/>
      </c>
      <c r="N393" s="141" t="str">
        <f t="shared" si="47"/>
        <v/>
      </c>
    </row>
    <row r="394" spans="1:14">
      <c r="A394" s="145" t="str">
        <f>IF(C394="","",VLOOKUP('Opći dio'!$C$3,'Opći dio'!$L$6:$U$136,10,FALSE))</f>
        <v/>
      </c>
      <c r="B394" s="145" t="str">
        <f>IF(C394="","",VLOOKUP('Opći dio'!$C$3,'Opći dio'!$L$6:$U$136,9,FALSE))</f>
        <v/>
      </c>
      <c r="C394" s="151"/>
      <c r="D394" s="146" t="str">
        <f t="shared" si="43"/>
        <v/>
      </c>
      <c r="E394" s="151"/>
      <c r="F394" s="146" t="str">
        <f t="shared" si="44"/>
        <v/>
      </c>
      <c r="G394" s="186"/>
      <c r="H394" s="146" t="str">
        <f t="shared" si="45"/>
        <v/>
      </c>
      <c r="I394" s="185"/>
      <c r="J394" s="185"/>
      <c r="K394" s="185"/>
      <c r="M394" s="141" t="str">
        <f t="shared" si="46"/>
        <v/>
      </c>
      <c r="N394" s="141" t="str">
        <f t="shared" si="47"/>
        <v/>
      </c>
    </row>
    <row r="395" spans="1:14">
      <c r="A395" s="145" t="str">
        <f>IF(C395="","",VLOOKUP('Opći dio'!$C$3,'Opći dio'!$L$6:$U$136,10,FALSE))</f>
        <v/>
      </c>
      <c r="B395" s="145" t="str">
        <f>IF(C395="","",VLOOKUP('Opći dio'!$C$3,'Opći dio'!$L$6:$U$136,9,FALSE))</f>
        <v/>
      </c>
      <c r="C395" s="151"/>
      <c r="D395" s="146" t="str">
        <f t="shared" si="43"/>
        <v/>
      </c>
      <c r="E395" s="151"/>
      <c r="F395" s="146" t="str">
        <f t="shared" si="44"/>
        <v/>
      </c>
      <c r="G395" s="186"/>
      <c r="H395" s="146" t="str">
        <f t="shared" si="45"/>
        <v/>
      </c>
      <c r="I395" s="185"/>
      <c r="J395" s="185"/>
      <c r="K395" s="185"/>
      <c r="M395" s="141" t="str">
        <f t="shared" si="46"/>
        <v/>
      </c>
      <c r="N395" s="141" t="str">
        <f t="shared" si="47"/>
        <v/>
      </c>
    </row>
    <row r="396" spans="1:14">
      <c r="A396" s="145" t="str">
        <f>IF(C396="","",VLOOKUP('Opći dio'!$C$3,'Opći dio'!$L$6:$U$136,10,FALSE))</f>
        <v/>
      </c>
      <c r="B396" s="145" t="str">
        <f>IF(C396="","",VLOOKUP('Opći dio'!$C$3,'Opći dio'!$L$6:$U$136,9,FALSE))</f>
        <v/>
      </c>
      <c r="C396" s="151"/>
      <c r="D396" s="146" t="str">
        <f t="shared" si="43"/>
        <v/>
      </c>
      <c r="E396" s="151"/>
      <c r="F396" s="146" t="str">
        <f t="shared" si="44"/>
        <v/>
      </c>
      <c r="G396" s="186"/>
      <c r="H396" s="146" t="str">
        <f t="shared" si="45"/>
        <v/>
      </c>
      <c r="I396" s="185"/>
      <c r="J396" s="185"/>
      <c r="K396" s="185"/>
      <c r="M396" s="141" t="str">
        <f t="shared" si="46"/>
        <v/>
      </c>
      <c r="N396" s="141" t="str">
        <f t="shared" si="47"/>
        <v/>
      </c>
    </row>
    <row r="397" spans="1:14">
      <c r="A397" s="145" t="str">
        <f>IF(C397="","",VLOOKUP('Opći dio'!$C$3,'Opći dio'!$L$6:$U$136,10,FALSE))</f>
        <v/>
      </c>
      <c r="B397" s="145" t="str">
        <f>IF(C397="","",VLOOKUP('Opći dio'!$C$3,'Opći dio'!$L$6:$U$136,9,FALSE))</f>
        <v/>
      </c>
      <c r="C397" s="151"/>
      <c r="D397" s="146" t="str">
        <f t="shared" si="43"/>
        <v/>
      </c>
      <c r="E397" s="151"/>
      <c r="F397" s="146" t="str">
        <f t="shared" si="44"/>
        <v/>
      </c>
      <c r="G397" s="186"/>
      <c r="H397" s="146" t="str">
        <f t="shared" si="45"/>
        <v/>
      </c>
      <c r="I397" s="185"/>
      <c r="J397" s="185"/>
      <c r="K397" s="185"/>
      <c r="M397" s="141" t="str">
        <f t="shared" si="46"/>
        <v/>
      </c>
      <c r="N397" s="141" t="str">
        <f t="shared" si="47"/>
        <v/>
      </c>
    </row>
    <row r="398" spans="1:14">
      <c r="A398" s="145" t="str">
        <f>IF(C398="","",VLOOKUP('Opći dio'!$C$3,'Opći dio'!$L$6:$U$136,10,FALSE))</f>
        <v/>
      </c>
      <c r="B398" s="145" t="str">
        <f>IF(C398="","",VLOOKUP('Opći dio'!$C$3,'Opći dio'!$L$6:$U$136,9,FALSE))</f>
        <v/>
      </c>
      <c r="C398" s="151"/>
      <c r="D398" s="146" t="str">
        <f t="shared" si="43"/>
        <v/>
      </c>
      <c r="E398" s="151"/>
      <c r="F398" s="146" t="str">
        <f t="shared" si="44"/>
        <v/>
      </c>
      <c r="G398" s="186"/>
      <c r="H398" s="146" t="str">
        <f t="shared" si="45"/>
        <v/>
      </c>
      <c r="I398" s="185"/>
      <c r="J398" s="185"/>
      <c r="K398" s="185"/>
      <c r="M398" s="141" t="str">
        <f t="shared" si="46"/>
        <v/>
      </c>
      <c r="N398" s="141" t="str">
        <f t="shared" si="47"/>
        <v/>
      </c>
    </row>
    <row r="399" spans="1:14">
      <c r="A399" s="145" t="str">
        <f>IF(C399="","",VLOOKUP('Opći dio'!$C$3,'Opći dio'!$L$6:$U$136,10,FALSE))</f>
        <v/>
      </c>
      <c r="B399" s="145" t="str">
        <f>IF(C399="","",VLOOKUP('Opći dio'!$C$3,'Opći dio'!$L$6:$U$136,9,FALSE))</f>
        <v/>
      </c>
      <c r="C399" s="151"/>
      <c r="D399" s="146" t="str">
        <f t="shared" si="43"/>
        <v/>
      </c>
      <c r="E399" s="151"/>
      <c r="F399" s="146" t="str">
        <f t="shared" si="44"/>
        <v/>
      </c>
      <c r="G399" s="186"/>
      <c r="H399" s="146" t="str">
        <f t="shared" si="45"/>
        <v/>
      </c>
      <c r="I399" s="185"/>
      <c r="J399" s="185"/>
      <c r="K399" s="185"/>
      <c r="M399" s="141" t="str">
        <f t="shared" si="46"/>
        <v/>
      </c>
      <c r="N399" s="141" t="str">
        <f t="shared" si="47"/>
        <v/>
      </c>
    </row>
    <row r="400" spans="1:14">
      <c r="A400" s="145" t="str">
        <f>IF(C400="","",VLOOKUP('Opći dio'!$C$3,'Opći dio'!$L$6:$U$136,10,FALSE))</f>
        <v/>
      </c>
      <c r="B400" s="145" t="str">
        <f>IF(C400="","",VLOOKUP('Opći dio'!$C$3,'Opći dio'!$L$6:$U$136,9,FALSE))</f>
        <v/>
      </c>
      <c r="C400" s="151"/>
      <c r="D400" s="146" t="str">
        <f t="shared" si="43"/>
        <v/>
      </c>
      <c r="E400" s="151"/>
      <c r="F400" s="146" t="str">
        <f t="shared" si="44"/>
        <v/>
      </c>
      <c r="G400" s="186"/>
      <c r="H400" s="146" t="str">
        <f t="shared" si="45"/>
        <v/>
      </c>
      <c r="I400" s="185"/>
      <c r="J400" s="185"/>
      <c r="K400" s="185"/>
      <c r="M400" s="141" t="str">
        <f t="shared" si="46"/>
        <v/>
      </c>
      <c r="N400" s="141" t="str">
        <f t="shared" si="47"/>
        <v/>
      </c>
    </row>
    <row r="401" spans="1:14">
      <c r="A401" s="145" t="str">
        <f>IF(C401="","",VLOOKUP('Opći dio'!$C$3,'Opći dio'!$L$6:$U$136,10,FALSE))</f>
        <v/>
      </c>
      <c r="B401" s="145" t="str">
        <f>IF(C401="","",VLOOKUP('Opći dio'!$C$3,'Opći dio'!$L$6:$U$136,9,FALSE))</f>
        <v/>
      </c>
      <c r="C401" s="151"/>
      <c r="D401" s="146" t="str">
        <f t="shared" si="43"/>
        <v/>
      </c>
      <c r="E401" s="151"/>
      <c r="F401" s="146" t="str">
        <f t="shared" si="44"/>
        <v/>
      </c>
      <c r="G401" s="186"/>
      <c r="H401" s="146" t="str">
        <f t="shared" si="45"/>
        <v/>
      </c>
      <c r="I401" s="185"/>
      <c r="J401" s="185"/>
      <c r="K401" s="185"/>
      <c r="M401" s="141" t="str">
        <f t="shared" si="46"/>
        <v/>
      </c>
      <c r="N401" s="141" t="str">
        <f t="shared" si="47"/>
        <v/>
      </c>
    </row>
    <row r="402" spans="1:14">
      <c r="A402" s="145" t="str">
        <f>IF(C402="","",VLOOKUP('Opći dio'!$C$3,'Opći dio'!$L$6:$U$136,10,FALSE))</f>
        <v/>
      </c>
      <c r="B402" s="145" t="str">
        <f>IF(C402="","",VLOOKUP('Opći dio'!$C$3,'Opći dio'!$L$6:$U$136,9,FALSE))</f>
        <v/>
      </c>
      <c r="C402" s="151"/>
      <c r="D402" s="146" t="str">
        <f t="shared" si="43"/>
        <v/>
      </c>
      <c r="E402" s="151"/>
      <c r="F402" s="146" t="str">
        <f t="shared" si="44"/>
        <v/>
      </c>
      <c r="G402" s="186"/>
      <c r="H402" s="146" t="str">
        <f t="shared" si="45"/>
        <v/>
      </c>
      <c r="I402" s="185"/>
      <c r="J402" s="185"/>
      <c r="K402" s="185"/>
      <c r="M402" s="141" t="str">
        <f t="shared" si="46"/>
        <v/>
      </c>
      <c r="N402" s="141" t="str">
        <f t="shared" si="47"/>
        <v/>
      </c>
    </row>
    <row r="403" spans="1:14">
      <c r="A403" s="145" t="str">
        <f>IF(C403="","",VLOOKUP('Opći dio'!$C$3,'Opći dio'!$L$6:$U$136,10,FALSE))</f>
        <v/>
      </c>
      <c r="B403" s="145" t="str">
        <f>IF(C403="","",VLOOKUP('Opći dio'!$C$3,'Opći dio'!$L$6:$U$136,9,FALSE))</f>
        <v/>
      </c>
      <c r="C403" s="151"/>
      <c r="D403" s="146" t="str">
        <f t="shared" si="43"/>
        <v/>
      </c>
      <c r="E403" s="151"/>
      <c r="F403" s="146" t="str">
        <f t="shared" si="44"/>
        <v/>
      </c>
      <c r="G403" s="186"/>
      <c r="H403" s="146" t="str">
        <f t="shared" si="45"/>
        <v/>
      </c>
      <c r="I403" s="185"/>
      <c r="J403" s="185"/>
      <c r="K403" s="185"/>
      <c r="M403" s="141" t="str">
        <f t="shared" si="46"/>
        <v/>
      </c>
      <c r="N403" s="141" t="str">
        <f t="shared" si="47"/>
        <v/>
      </c>
    </row>
    <row r="404" spans="1:14">
      <c r="A404" s="145" t="str">
        <f>IF(C404="","",VLOOKUP('Opći dio'!$C$3,'Opći dio'!$L$6:$U$136,10,FALSE))</f>
        <v/>
      </c>
      <c r="B404" s="145" t="str">
        <f>IF(C404="","",VLOOKUP('Opći dio'!$C$3,'Opći dio'!$L$6:$U$136,9,FALSE))</f>
        <v/>
      </c>
      <c r="C404" s="151"/>
      <c r="D404" s="146" t="str">
        <f t="shared" si="43"/>
        <v/>
      </c>
      <c r="E404" s="151"/>
      <c r="F404" s="146" t="str">
        <f t="shared" si="44"/>
        <v/>
      </c>
      <c r="G404" s="186"/>
      <c r="H404" s="146" t="str">
        <f t="shared" si="45"/>
        <v/>
      </c>
      <c r="I404" s="185"/>
      <c r="J404" s="185"/>
      <c r="K404" s="185"/>
      <c r="M404" s="141" t="str">
        <f t="shared" si="46"/>
        <v/>
      </c>
      <c r="N404" s="141" t="str">
        <f t="shared" si="47"/>
        <v/>
      </c>
    </row>
    <row r="405" spans="1:14">
      <c r="A405" s="145" t="str">
        <f>IF(C405="","",VLOOKUP('Opći dio'!$C$3,'Opći dio'!$L$6:$U$136,10,FALSE))</f>
        <v/>
      </c>
      <c r="B405" s="145" t="str">
        <f>IF(C405="","",VLOOKUP('Opći dio'!$C$3,'Opći dio'!$L$6:$U$136,9,FALSE))</f>
        <v/>
      </c>
      <c r="C405" s="151"/>
      <c r="D405" s="146" t="str">
        <f t="shared" si="43"/>
        <v/>
      </c>
      <c r="E405" s="151"/>
      <c r="F405" s="146" t="str">
        <f t="shared" si="44"/>
        <v/>
      </c>
      <c r="G405" s="186"/>
      <c r="H405" s="146" t="str">
        <f t="shared" si="45"/>
        <v/>
      </c>
      <c r="I405" s="185"/>
      <c r="J405" s="185"/>
      <c r="K405" s="185"/>
      <c r="M405" s="141" t="str">
        <f t="shared" si="46"/>
        <v/>
      </c>
      <c r="N405" s="141" t="str">
        <f t="shared" si="47"/>
        <v/>
      </c>
    </row>
    <row r="406" spans="1:14">
      <c r="A406" s="145" t="str">
        <f>IF(C406="","",VLOOKUP('Opći dio'!$C$3,'Opći dio'!$L$6:$U$136,10,FALSE))</f>
        <v/>
      </c>
      <c r="B406" s="145" t="str">
        <f>IF(C406="","",VLOOKUP('Opći dio'!$C$3,'Opći dio'!$L$6:$U$136,9,FALSE))</f>
        <v/>
      </c>
      <c r="C406" s="151"/>
      <c r="D406" s="146" t="str">
        <f t="shared" si="43"/>
        <v/>
      </c>
      <c r="E406" s="151"/>
      <c r="F406" s="146" t="str">
        <f t="shared" si="44"/>
        <v/>
      </c>
      <c r="G406" s="186"/>
      <c r="H406" s="146" t="str">
        <f t="shared" si="45"/>
        <v/>
      </c>
      <c r="I406" s="185"/>
      <c r="J406" s="185"/>
      <c r="K406" s="185"/>
      <c r="M406" s="141" t="str">
        <f t="shared" si="46"/>
        <v/>
      </c>
      <c r="N406" s="141" t="str">
        <f t="shared" si="47"/>
        <v/>
      </c>
    </row>
    <row r="407" spans="1:14">
      <c r="A407" s="145" t="str">
        <f>IF(C407="","",VLOOKUP('Opći dio'!$C$3,'Opći dio'!$L$6:$U$136,10,FALSE))</f>
        <v/>
      </c>
      <c r="B407" s="145" t="str">
        <f>IF(C407="","",VLOOKUP('Opći dio'!$C$3,'Opći dio'!$L$6:$U$136,9,FALSE))</f>
        <v/>
      </c>
      <c r="C407" s="151"/>
      <c r="D407" s="146" t="str">
        <f t="shared" si="43"/>
        <v/>
      </c>
      <c r="E407" s="151"/>
      <c r="F407" s="146" t="str">
        <f t="shared" si="44"/>
        <v/>
      </c>
      <c r="G407" s="186"/>
      <c r="H407" s="146" t="str">
        <f t="shared" si="45"/>
        <v/>
      </c>
      <c r="I407" s="185"/>
      <c r="J407" s="185"/>
      <c r="K407" s="185"/>
      <c r="M407" s="141" t="str">
        <f t="shared" si="46"/>
        <v/>
      </c>
      <c r="N407" s="141" t="str">
        <f t="shared" si="47"/>
        <v/>
      </c>
    </row>
    <row r="408" spans="1:14">
      <c r="A408" s="145" t="str">
        <f>IF(C408="","",VLOOKUP('Opći dio'!$C$3,'Opći dio'!$L$6:$U$136,10,FALSE))</f>
        <v/>
      </c>
      <c r="B408" s="145" t="str">
        <f>IF(C408="","",VLOOKUP('Opći dio'!$C$3,'Opći dio'!$L$6:$U$136,9,FALSE))</f>
        <v/>
      </c>
      <c r="C408" s="151"/>
      <c r="D408" s="146" t="str">
        <f t="shared" si="43"/>
        <v/>
      </c>
      <c r="E408" s="151"/>
      <c r="F408" s="146" t="str">
        <f t="shared" si="44"/>
        <v/>
      </c>
      <c r="G408" s="186"/>
      <c r="H408" s="146" t="str">
        <f t="shared" si="45"/>
        <v/>
      </c>
      <c r="I408" s="185"/>
      <c r="J408" s="185"/>
      <c r="K408" s="185"/>
      <c r="M408" s="141" t="str">
        <f t="shared" si="46"/>
        <v/>
      </c>
      <c r="N408" s="141" t="str">
        <f t="shared" si="47"/>
        <v/>
      </c>
    </row>
    <row r="409" spans="1:14">
      <c r="A409" s="145" t="str">
        <f>IF(C409="","",VLOOKUP('Opći dio'!$C$3,'Opći dio'!$L$6:$U$136,10,FALSE))</f>
        <v/>
      </c>
      <c r="B409" s="145" t="str">
        <f>IF(C409="","",VLOOKUP('Opći dio'!$C$3,'Opći dio'!$L$6:$U$136,9,FALSE))</f>
        <v/>
      </c>
      <c r="C409" s="151"/>
      <c r="D409" s="146" t="str">
        <f t="shared" si="43"/>
        <v/>
      </c>
      <c r="E409" s="151"/>
      <c r="F409" s="146" t="str">
        <f t="shared" si="44"/>
        <v/>
      </c>
      <c r="G409" s="186"/>
      <c r="H409" s="146" t="str">
        <f t="shared" si="45"/>
        <v/>
      </c>
      <c r="I409" s="185"/>
      <c r="J409" s="185"/>
      <c r="K409" s="185"/>
      <c r="M409" s="141" t="str">
        <f t="shared" si="46"/>
        <v/>
      </c>
      <c r="N409" s="141" t="str">
        <f t="shared" si="47"/>
        <v/>
      </c>
    </row>
    <row r="410" spans="1:14">
      <c r="A410" s="145" t="str">
        <f>IF(C410="","",VLOOKUP('Opći dio'!$C$3,'Opći dio'!$L$6:$U$136,10,FALSE))</f>
        <v/>
      </c>
      <c r="B410" s="145" t="str">
        <f>IF(C410="","",VLOOKUP('Opći dio'!$C$3,'Opći dio'!$L$6:$U$136,9,FALSE))</f>
        <v/>
      </c>
      <c r="C410" s="151"/>
      <c r="D410" s="146" t="str">
        <f t="shared" si="43"/>
        <v/>
      </c>
      <c r="E410" s="151"/>
      <c r="F410" s="146" t="str">
        <f t="shared" si="44"/>
        <v/>
      </c>
      <c r="G410" s="186"/>
      <c r="H410" s="146" t="str">
        <f t="shared" si="45"/>
        <v/>
      </c>
      <c r="I410" s="185"/>
      <c r="J410" s="185"/>
      <c r="K410" s="185"/>
      <c r="M410" s="141" t="str">
        <f t="shared" si="46"/>
        <v/>
      </c>
      <c r="N410" s="141" t="str">
        <f t="shared" si="47"/>
        <v/>
      </c>
    </row>
    <row r="411" spans="1:14">
      <c r="A411" s="145" t="str">
        <f>IF(C411="","",VLOOKUP('Opći dio'!$C$3,'Opći dio'!$L$6:$U$136,10,FALSE))</f>
        <v/>
      </c>
      <c r="B411" s="145" t="str">
        <f>IF(C411="","",VLOOKUP('Opći dio'!$C$3,'Opći dio'!$L$6:$U$136,9,FALSE))</f>
        <v/>
      </c>
      <c r="C411" s="151"/>
      <c r="D411" s="146" t="str">
        <f t="shared" si="43"/>
        <v/>
      </c>
      <c r="E411" s="151"/>
      <c r="F411" s="146" t="str">
        <f t="shared" si="44"/>
        <v/>
      </c>
      <c r="G411" s="186"/>
      <c r="H411" s="146" t="str">
        <f t="shared" si="45"/>
        <v/>
      </c>
      <c r="I411" s="185"/>
      <c r="J411" s="185"/>
      <c r="K411" s="185"/>
      <c r="M411" s="141" t="str">
        <f t="shared" si="46"/>
        <v/>
      </c>
      <c r="N411" s="141" t="str">
        <f t="shared" si="47"/>
        <v/>
      </c>
    </row>
    <row r="412" spans="1:14">
      <c r="A412" s="145" t="str">
        <f>IF(C412="","",VLOOKUP('Opći dio'!$C$3,'Opći dio'!$L$6:$U$136,10,FALSE))</f>
        <v/>
      </c>
      <c r="B412" s="145" t="str">
        <f>IF(C412="","",VLOOKUP('Opći dio'!$C$3,'Opći dio'!$L$6:$U$136,9,FALSE))</f>
        <v/>
      </c>
      <c r="C412" s="151"/>
      <c r="D412" s="146" t="str">
        <f t="shared" si="43"/>
        <v/>
      </c>
      <c r="E412" s="151"/>
      <c r="F412" s="146" t="str">
        <f t="shared" si="44"/>
        <v/>
      </c>
      <c r="G412" s="186"/>
      <c r="H412" s="146" t="str">
        <f t="shared" si="45"/>
        <v/>
      </c>
      <c r="I412" s="185"/>
      <c r="J412" s="185"/>
      <c r="K412" s="185"/>
      <c r="M412" s="141" t="str">
        <f t="shared" si="46"/>
        <v/>
      </c>
      <c r="N412" s="141" t="str">
        <f t="shared" si="47"/>
        <v/>
      </c>
    </row>
    <row r="413" spans="1:14">
      <c r="A413" s="145" t="str">
        <f>IF(C413="","",VLOOKUP('Opći dio'!$C$3,'Opći dio'!$L$6:$U$136,10,FALSE))</f>
        <v/>
      </c>
      <c r="B413" s="145" t="str">
        <f>IF(C413="","",VLOOKUP('Opći dio'!$C$3,'Opći dio'!$L$6:$U$136,9,FALSE))</f>
        <v/>
      </c>
      <c r="C413" s="151"/>
      <c r="D413" s="146" t="str">
        <f t="shared" si="43"/>
        <v/>
      </c>
      <c r="E413" s="151"/>
      <c r="F413" s="146" t="str">
        <f t="shared" si="44"/>
        <v/>
      </c>
      <c r="G413" s="186"/>
      <c r="H413" s="146" t="str">
        <f t="shared" si="45"/>
        <v/>
      </c>
      <c r="I413" s="185"/>
      <c r="J413" s="185"/>
      <c r="K413" s="185"/>
      <c r="M413" s="141" t="str">
        <f t="shared" si="46"/>
        <v/>
      </c>
      <c r="N413" s="141" t="str">
        <f t="shared" si="47"/>
        <v/>
      </c>
    </row>
    <row r="414" spans="1:14">
      <c r="A414" s="145" t="str">
        <f>IF(C414="","",VLOOKUP('Opći dio'!$C$3,'Opći dio'!$L$6:$U$136,10,FALSE))</f>
        <v/>
      </c>
      <c r="B414" s="145" t="str">
        <f>IF(C414="","",VLOOKUP('Opći dio'!$C$3,'Opći dio'!$L$6:$U$136,9,FALSE))</f>
        <v/>
      </c>
      <c r="C414" s="151"/>
      <c r="D414" s="146" t="str">
        <f t="shared" si="43"/>
        <v/>
      </c>
      <c r="E414" s="151"/>
      <c r="F414" s="146" t="str">
        <f t="shared" si="44"/>
        <v/>
      </c>
      <c r="G414" s="186"/>
      <c r="H414" s="146" t="str">
        <f t="shared" si="45"/>
        <v/>
      </c>
      <c r="I414" s="185"/>
      <c r="J414" s="185"/>
      <c r="K414" s="185"/>
      <c r="M414" s="141" t="str">
        <f t="shared" si="46"/>
        <v/>
      </c>
      <c r="N414" s="141" t="str">
        <f t="shared" si="47"/>
        <v/>
      </c>
    </row>
    <row r="415" spans="1:14">
      <c r="A415" s="145" t="str">
        <f>IF(C415="","",VLOOKUP('Opći dio'!$C$3,'Opći dio'!$L$6:$U$136,10,FALSE))</f>
        <v/>
      </c>
      <c r="B415" s="145" t="str">
        <f>IF(C415="","",VLOOKUP('Opći dio'!$C$3,'Opći dio'!$L$6:$U$136,9,FALSE))</f>
        <v/>
      </c>
      <c r="C415" s="151"/>
      <c r="D415" s="146" t="str">
        <f t="shared" si="43"/>
        <v/>
      </c>
      <c r="E415" s="151"/>
      <c r="F415" s="146" t="str">
        <f t="shared" si="44"/>
        <v/>
      </c>
      <c r="G415" s="186"/>
      <c r="H415" s="146" t="str">
        <f t="shared" si="45"/>
        <v/>
      </c>
      <c r="I415" s="185"/>
      <c r="J415" s="185"/>
      <c r="K415" s="185"/>
      <c r="M415" s="141" t="str">
        <f t="shared" si="46"/>
        <v/>
      </c>
      <c r="N415" s="141" t="str">
        <f t="shared" si="47"/>
        <v/>
      </c>
    </row>
    <row r="416" spans="1:14">
      <c r="A416" s="145" t="str">
        <f>IF(C416="","",VLOOKUP('Opći dio'!$C$3,'Opći dio'!$L$6:$U$136,10,FALSE))</f>
        <v/>
      </c>
      <c r="B416" s="145" t="str">
        <f>IF(C416="","",VLOOKUP('Opći dio'!$C$3,'Opći dio'!$L$6:$U$136,9,FALSE))</f>
        <v/>
      </c>
      <c r="C416" s="151"/>
      <c r="D416" s="146" t="str">
        <f t="shared" si="43"/>
        <v/>
      </c>
      <c r="E416" s="151"/>
      <c r="F416" s="146" t="str">
        <f t="shared" si="44"/>
        <v/>
      </c>
      <c r="G416" s="186"/>
      <c r="H416" s="146" t="str">
        <f t="shared" si="45"/>
        <v/>
      </c>
      <c r="I416" s="185"/>
      <c r="J416" s="185"/>
      <c r="K416" s="185"/>
      <c r="M416" s="141" t="str">
        <f t="shared" si="46"/>
        <v/>
      </c>
      <c r="N416" s="141" t="str">
        <f t="shared" si="47"/>
        <v/>
      </c>
    </row>
    <row r="417" spans="1:14">
      <c r="A417" s="145" t="str">
        <f>IF(C417="","",VLOOKUP('Opći dio'!$C$3,'Opći dio'!$L$6:$U$136,10,FALSE))</f>
        <v/>
      </c>
      <c r="B417" s="145" t="str">
        <f>IF(C417="","",VLOOKUP('Opći dio'!$C$3,'Opći dio'!$L$6:$U$136,9,FALSE))</f>
        <v/>
      </c>
      <c r="C417" s="151"/>
      <c r="D417" s="146" t="str">
        <f t="shared" si="43"/>
        <v/>
      </c>
      <c r="E417" s="151"/>
      <c r="F417" s="146" t="str">
        <f t="shared" si="44"/>
        <v/>
      </c>
      <c r="G417" s="186"/>
      <c r="H417" s="146" t="str">
        <f t="shared" si="45"/>
        <v/>
      </c>
      <c r="I417" s="185"/>
      <c r="J417" s="185"/>
      <c r="K417" s="185"/>
      <c r="M417" s="141" t="str">
        <f t="shared" si="46"/>
        <v/>
      </c>
      <c r="N417" s="141" t="str">
        <f t="shared" si="47"/>
        <v/>
      </c>
    </row>
    <row r="418" spans="1:14">
      <c r="A418" s="145" t="str">
        <f>IF(C418="","",VLOOKUP('Opći dio'!$C$3,'Opći dio'!$L$6:$U$136,10,FALSE))</f>
        <v/>
      </c>
      <c r="B418" s="145" t="str">
        <f>IF(C418="","",VLOOKUP('Opći dio'!$C$3,'Opći dio'!$L$6:$U$136,9,FALSE))</f>
        <v/>
      </c>
      <c r="C418" s="151"/>
      <c r="D418" s="146" t="str">
        <f t="shared" si="43"/>
        <v/>
      </c>
      <c r="E418" s="151"/>
      <c r="F418" s="146" t="str">
        <f t="shared" si="44"/>
        <v/>
      </c>
      <c r="G418" s="186"/>
      <c r="H418" s="146" t="str">
        <f t="shared" si="45"/>
        <v/>
      </c>
      <c r="I418" s="185"/>
      <c r="J418" s="185"/>
      <c r="K418" s="185"/>
      <c r="M418" s="141" t="str">
        <f t="shared" si="46"/>
        <v/>
      </c>
      <c r="N418" s="141" t="str">
        <f t="shared" si="47"/>
        <v/>
      </c>
    </row>
    <row r="419" spans="1:14">
      <c r="A419" s="145" t="str">
        <f>IF(C419="","",VLOOKUP('Opći dio'!$C$3,'Opći dio'!$L$6:$U$136,10,FALSE))</f>
        <v/>
      </c>
      <c r="B419" s="145" t="str">
        <f>IF(C419="","",VLOOKUP('Opći dio'!$C$3,'Opći dio'!$L$6:$U$136,9,FALSE))</f>
        <v/>
      </c>
      <c r="C419" s="151"/>
      <c r="D419" s="146" t="str">
        <f t="shared" si="43"/>
        <v/>
      </c>
      <c r="E419" s="151"/>
      <c r="F419" s="146" t="str">
        <f t="shared" si="44"/>
        <v/>
      </c>
      <c r="G419" s="186"/>
      <c r="H419" s="146" t="str">
        <f t="shared" si="45"/>
        <v/>
      </c>
      <c r="I419" s="185"/>
      <c r="J419" s="185"/>
      <c r="K419" s="185"/>
      <c r="M419" s="141" t="str">
        <f t="shared" si="46"/>
        <v/>
      </c>
      <c r="N419" s="141" t="str">
        <f t="shared" si="47"/>
        <v/>
      </c>
    </row>
    <row r="420" spans="1:14">
      <c r="A420" s="145" t="str">
        <f>IF(C420="","",VLOOKUP('Opći dio'!$C$3,'Opći dio'!$L$6:$U$136,10,FALSE))</f>
        <v/>
      </c>
      <c r="B420" s="145" t="str">
        <f>IF(C420="","",VLOOKUP('Opći dio'!$C$3,'Opći dio'!$L$6:$U$136,9,FALSE))</f>
        <v/>
      </c>
      <c r="C420" s="151"/>
      <c r="D420" s="146" t="str">
        <f t="shared" si="43"/>
        <v/>
      </c>
      <c r="E420" s="151"/>
      <c r="F420" s="146" t="str">
        <f t="shared" si="44"/>
        <v/>
      </c>
      <c r="G420" s="186"/>
      <c r="H420" s="146" t="str">
        <f t="shared" si="45"/>
        <v/>
      </c>
      <c r="I420" s="185"/>
      <c r="J420" s="185"/>
      <c r="K420" s="185"/>
      <c r="M420" s="141" t="str">
        <f t="shared" si="46"/>
        <v/>
      </c>
      <c r="N420" s="141" t="str">
        <f t="shared" si="47"/>
        <v/>
      </c>
    </row>
    <row r="421" spans="1:14">
      <c r="A421" s="145" t="str">
        <f>IF(C421="","",VLOOKUP('Opći dio'!$C$3,'Opći dio'!$L$6:$U$136,10,FALSE))</f>
        <v/>
      </c>
      <c r="B421" s="145" t="str">
        <f>IF(C421="","",VLOOKUP('Opći dio'!$C$3,'Opći dio'!$L$6:$U$136,9,FALSE))</f>
        <v/>
      </c>
      <c r="C421" s="151"/>
      <c r="D421" s="146" t="str">
        <f t="shared" si="43"/>
        <v/>
      </c>
      <c r="E421" s="151"/>
      <c r="F421" s="146" t="str">
        <f t="shared" si="44"/>
        <v/>
      </c>
      <c r="G421" s="186"/>
      <c r="H421" s="146" t="str">
        <f t="shared" si="45"/>
        <v/>
      </c>
      <c r="I421" s="185"/>
      <c r="J421" s="185"/>
      <c r="K421" s="185"/>
      <c r="M421" s="141" t="str">
        <f t="shared" si="46"/>
        <v/>
      </c>
      <c r="N421" s="141" t="str">
        <f t="shared" si="47"/>
        <v/>
      </c>
    </row>
    <row r="422" spans="1:14">
      <c r="A422" s="145" t="str">
        <f>IF(C422="","",VLOOKUP('Opći dio'!$C$3,'Opći dio'!$L$6:$U$136,10,FALSE))</f>
        <v/>
      </c>
      <c r="B422" s="145" t="str">
        <f>IF(C422="","",VLOOKUP('Opći dio'!$C$3,'Opći dio'!$L$6:$U$136,9,FALSE))</f>
        <v/>
      </c>
      <c r="C422" s="151"/>
      <c r="D422" s="146" t="str">
        <f t="shared" si="43"/>
        <v/>
      </c>
      <c r="E422" s="151"/>
      <c r="F422" s="146" t="str">
        <f t="shared" si="44"/>
        <v/>
      </c>
      <c r="G422" s="186"/>
      <c r="H422" s="146" t="str">
        <f t="shared" si="45"/>
        <v/>
      </c>
      <c r="I422" s="185"/>
      <c r="J422" s="185"/>
      <c r="K422" s="185"/>
      <c r="M422" s="141" t="str">
        <f t="shared" si="46"/>
        <v/>
      </c>
      <c r="N422" s="141" t="str">
        <f t="shared" si="47"/>
        <v/>
      </c>
    </row>
    <row r="423" spans="1:14">
      <c r="A423" s="145" t="str">
        <f>IF(C423="","",VLOOKUP('Opći dio'!$C$3,'Opći dio'!$L$6:$U$136,10,FALSE))</f>
        <v/>
      </c>
      <c r="B423" s="145" t="str">
        <f>IF(C423="","",VLOOKUP('Opći dio'!$C$3,'Opći dio'!$L$6:$U$136,9,FALSE))</f>
        <v/>
      </c>
      <c r="C423" s="151"/>
      <c r="D423" s="146" t="str">
        <f t="shared" si="43"/>
        <v/>
      </c>
      <c r="E423" s="151"/>
      <c r="F423" s="146" t="str">
        <f t="shared" si="44"/>
        <v/>
      </c>
      <c r="G423" s="186"/>
      <c r="H423" s="146" t="str">
        <f t="shared" si="45"/>
        <v/>
      </c>
      <c r="I423" s="185"/>
      <c r="J423" s="185"/>
      <c r="K423" s="185"/>
      <c r="M423" s="141" t="str">
        <f t="shared" si="46"/>
        <v/>
      </c>
      <c r="N423" s="141" t="str">
        <f t="shared" si="47"/>
        <v/>
      </c>
    </row>
    <row r="424" spans="1:14">
      <c r="A424" s="145" t="str">
        <f>IF(C424="","",VLOOKUP('Opći dio'!$C$3,'Opći dio'!$L$6:$U$136,10,FALSE))</f>
        <v/>
      </c>
      <c r="B424" s="145" t="str">
        <f>IF(C424="","",VLOOKUP('Opći dio'!$C$3,'Opći dio'!$L$6:$U$136,9,FALSE))</f>
        <v/>
      </c>
      <c r="C424" s="151"/>
      <c r="D424" s="146" t="str">
        <f t="shared" si="43"/>
        <v/>
      </c>
      <c r="E424" s="151"/>
      <c r="F424" s="146" t="str">
        <f t="shared" si="44"/>
        <v/>
      </c>
      <c r="G424" s="186"/>
      <c r="H424" s="146" t="str">
        <f t="shared" si="45"/>
        <v/>
      </c>
      <c r="I424" s="185"/>
      <c r="J424" s="185"/>
      <c r="K424" s="185"/>
      <c r="M424" s="141" t="str">
        <f t="shared" si="46"/>
        <v/>
      </c>
      <c r="N424" s="141" t="str">
        <f t="shared" si="47"/>
        <v/>
      </c>
    </row>
    <row r="425" spans="1:14">
      <c r="A425" s="145" t="str">
        <f>IF(C425="","",VLOOKUP('Opći dio'!$C$3,'Opći dio'!$L$6:$U$136,10,FALSE))</f>
        <v/>
      </c>
      <c r="B425" s="145" t="str">
        <f>IF(C425="","",VLOOKUP('Opći dio'!$C$3,'Opći dio'!$L$6:$U$136,9,FALSE))</f>
        <v/>
      </c>
      <c r="C425" s="151"/>
      <c r="D425" s="146" t="str">
        <f t="shared" si="43"/>
        <v/>
      </c>
      <c r="E425" s="151"/>
      <c r="F425" s="146" t="str">
        <f t="shared" si="44"/>
        <v/>
      </c>
      <c r="G425" s="186"/>
      <c r="H425" s="146" t="str">
        <f t="shared" si="45"/>
        <v/>
      </c>
      <c r="I425" s="185"/>
      <c r="J425" s="185"/>
      <c r="K425" s="185"/>
      <c r="M425" s="141" t="str">
        <f t="shared" si="46"/>
        <v/>
      </c>
      <c r="N425" s="141" t="str">
        <f t="shared" si="47"/>
        <v/>
      </c>
    </row>
    <row r="426" spans="1:14">
      <c r="A426" s="145" t="str">
        <f>IF(C426="","",VLOOKUP('Opći dio'!$C$3,'Opći dio'!$L$6:$U$136,10,FALSE))</f>
        <v/>
      </c>
      <c r="B426" s="145" t="str">
        <f>IF(C426="","",VLOOKUP('Opći dio'!$C$3,'Opći dio'!$L$6:$U$136,9,FALSE))</f>
        <v/>
      </c>
      <c r="C426" s="151"/>
      <c r="D426" s="146" t="str">
        <f t="shared" si="43"/>
        <v/>
      </c>
      <c r="E426" s="151"/>
      <c r="F426" s="146" t="str">
        <f t="shared" si="44"/>
        <v/>
      </c>
      <c r="G426" s="186"/>
      <c r="H426" s="146" t="str">
        <f t="shared" si="45"/>
        <v/>
      </c>
      <c r="I426" s="185"/>
      <c r="J426" s="185"/>
      <c r="K426" s="185"/>
      <c r="M426" s="141" t="str">
        <f t="shared" si="46"/>
        <v/>
      </c>
      <c r="N426" s="141" t="str">
        <f t="shared" si="47"/>
        <v/>
      </c>
    </row>
    <row r="427" spans="1:14">
      <c r="A427" s="145" t="str">
        <f>IF(C427="","",VLOOKUP('Opći dio'!$C$3,'Opći dio'!$L$6:$U$136,10,FALSE))</f>
        <v/>
      </c>
      <c r="B427" s="145" t="str">
        <f>IF(C427="","",VLOOKUP('Opći dio'!$C$3,'Opći dio'!$L$6:$U$136,9,FALSE))</f>
        <v/>
      </c>
      <c r="C427" s="151"/>
      <c r="D427" s="146" t="str">
        <f t="shared" si="43"/>
        <v/>
      </c>
      <c r="E427" s="151"/>
      <c r="F427" s="146" t="str">
        <f t="shared" si="44"/>
        <v/>
      </c>
      <c r="G427" s="186"/>
      <c r="H427" s="146" t="str">
        <f t="shared" si="45"/>
        <v/>
      </c>
      <c r="I427" s="185"/>
      <c r="J427" s="185"/>
      <c r="K427" s="185"/>
      <c r="M427" s="141" t="str">
        <f t="shared" si="46"/>
        <v/>
      </c>
      <c r="N427" s="141" t="str">
        <f t="shared" si="47"/>
        <v/>
      </c>
    </row>
    <row r="428" spans="1:14">
      <c r="A428" s="145" t="str">
        <f>IF(C428="","",VLOOKUP('Opći dio'!$C$3,'Opći dio'!$L$6:$U$136,10,FALSE))</f>
        <v/>
      </c>
      <c r="B428" s="145" t="str">
        <f>IF(C428="","",VLOOKUP('Opći dio'!$C$3,'Opći dio'!$L$6:$U$136,9,FALSE))</f>
        <v/>
      </c>
      <c r="C428" s="151"/>
      <c r="D428" s="146" t="str">
        <f t="shared" si="43"/>
        <v/>
      </c>
      <c r="E428" s="151"/>
      <c r="F428" s="146" t="str">
        <f t="shared" si="44"/>
        <v/>
      </c>
      <c r="G428" s="186"/>
      <c r="H428" s="146" t="str">
        <f t="shared" si="45"/>
        <v/>
      </c>
      <c r="I428" s="185"/>
      <c r="J428" s="185"/>
      <c r="K428" s="185"/>
      <c r="M428" s="141" t="str">
        <f t="shared" si="46"/>
        <v/>
      </c>
      <c r="N428" s="141" t="str">
        <f t="shared" si="47"/>
        <v/>
      </c>
    </row>
    <row r="429" spans="1:14">
      <c r="A429" s="145" t="str">
        <f>IF(C429="","",VLOOKUP('Opći dio'!$C$3,'Opći dio'!$L$6:$U$136,10,FALSE))</f>
        <v/>
      </c>
      <c r="B429" s="145" t="str">
        <f>IF(C429="","",VLOOKUP('Opći dio'!$C$3,'Opći dio'!$L$6:$U$136,9,FALSE))</f>
        <v/>
      </c>
      <c r="C429" s="151"/>
      <c r="D429" s="146" t="str">
        <f t="shared" si="43"/>
        <v/>
      </c>
      <c r="E429" s="151"/>
      <c r="F429" s="146" t="str">
        <f t="shared" si="44"/>
        <v/>
      </c>
      <c r="G429" s="186"/>
      <c r="H429" s="146" t="str">
        <f t="shared" si="45"/>
        <v/>
      </c>
      <c r="I429" s="185"/>
      <c r="J429" s="185"/>
      <c r="K429" s="185"/>
      <c r="M429" s="141" t="str">
        <f t="shared" si="46"/>
        <v/>
      </c>
      <c r="N429" s="141" t="str">
        <f t="shared" si="47"/>
        <v/>
      </c>
    </row>
    <row r="430" spans="1:14">
      <c r="A430" s="145" t="str">
        <f>IF(C430="","",VLOOKUP('Opći dio'!$C$3,'Opći dio'!$L$6:$U$136,10,FALSE))</f>
        <v/>
      </c>
      <c r="B430" s="145" t="str">
        <f>IF(C430="","",VLOOKUP('Opći dio'!$C$3,'Opći dio'!$L$6:$U$136,9,FALSE))</f>
        <v/>
      </c>
      <c r="C430" s="151"/>
      <c r="D430" s="146" t="str">
        <f t="shared" si="43"/>
        <v/>
      </c>
      <c r="E430" s="151"/>
      <c r="F430" s="146" t="str">
        <f t="shared" si="44"/>
        <v/>
      </c>
      <c r="G430" s="186"/>
      <c r="H430" s="146" t="str">
        <f t="shared" si="45"/>
        <v/>
      </c>
      <c r="I430" s="185"/>
      <c r="J430" s="185"/>
      <c r="K430" s="185"/>
      <c r="M430" s="141" t="str">
        <f t="shared" si="46"/>
        <v/>
      </c>
      <c r="N430" s="141" t="str">
        <f t="shared" si="47"/>
        <v/>
      </c>
    </row>
    <row r="431" spans="1:14">
      <c r="A431" s="145" t="str">
        <f>IF(C431="","",VLOOKUP('Opći dio'!$C$3,'Opći dio'!$L$6:$U$136,10,FALSE))</f>
        <v/>
      </c>
      <c r="B431" s="145" t="str">
        <f>IF(C431="","",VLOOKUP('Opći dio'!$C$3,'Opći dio'!$L$6:$U$136,9,FALSE))</f>
        <v/>
      </c>
      <c r="C431" s="151"/>
      <c r="D431" s="146" t="str">
        <f t="shared" si="43"/>
        <v/>
      </c>
      <c r="E431" s="151"/>
      <c r="F431" s="146" t="str">
        <f t="shared" si="44"/>
        <v/>
      </c>
      <c r="G431" s="186"/>
      <c r="H431" s="146" t="str">
        <f t="shared" si="45"/>
        <v/>
      </c>
      <c r="I431" s="185"/>
      <c r="J431" s="185"/>
      <c r="K431" s="185"/>
      <c r="M431" s="141" t="str">
        <f t="shared" si="46"/>
        <v/>
      </c>
      <c r="N431" s="141" t="str">
        <f t="shared" si="47"/>
        <v/>
      </c>
    </row>
    <row r="432" spans="1:14">
      <c r="A432" s="145" t="str">
        <f>IF(C432="","",VLOOKUP('Opći dio'!$C$3,'Opći dio'!$L$6:$U$136,10,FALSE))</f>
        <v/>
      </c>
      <c r="B432" s="145" t="str">
        <f>IF(C432="","",VLOOKUP('Opći dio'!$C$3,'Opći dio'!$L$6:$U$136,9,FALSE))</f>
        <v/>
      </c>
      <c r="C432" s="151"/>
      <c r="D432" s="146" t="str">
        <f t="shared" si="43"/>
        <v/>
      </c>
      <c r="E432" s="151"/>
      <c r="F432" s="146" t="str">
        <f t="shared" si="44"/>
        <v/>
      </c>
      <c r="G432" s="186"/>
      <c r="H432" s="146" t="str">
        <f t="shared" si="45"/>
        <v/>
      </c>
      <c r="I432" s="185"/>
      <c r="J432" s="185"/>
      <c r="K432" s="185"/>
      <c r="M432" s="141" t="str">
        <f t="shared" si="46"/>
        <v/>
      </c>
      <c r="N432" s="141" t="str">
        <f t="shared" si="47"/>
        <v/>
      </c>
    </row>
    <row r="433" spans="1:14">
      <c r="A433" s="145" t="str">
        <f>IF(C433="","",VLOOKUP('Opći dio'!$C$3,'Opći dio'!$L$6:$U$136,10,FALSE))</f>
        <v/>
      </c>
      <c r="B433" s="145" t="str">
        <f>IF(C433="","",VLOOKUP('Opći dio'!$C$3,'Opći dio'!$L$6:$U$136,9,FALSE))</f>
        <v/>
      </c>
      <c r="C433" s="151"/>
      <c r="D433" s="146" t="str">
        <f t="shared" si="43"/>
        <v/>
      </c>
      <c r="E433" s="151"/>
      <c r="F433" s="146" t="str">
        <f t="shared" si="44"/>
        <v/>
      </c>
      <c r="G433" s="186"/>
      <c r="H433" s="146" t="str">
        <f t="shared" si="45"/>
        <v/>
      </c>
      <c r="I433" s="185"/>
      <c r="J433" s="185"/>
      <c r="K433" s="185"/>
      <c r="M433" s="141" t="str">
        <f t="shared" si="46"/>
        <v/>
      </c>
      <c r="N433" s="141" t="str">
        <f t="shared" si="47"/>
        <v/>
      </c>
    </row>
    <row r="434" spans="1:14">
      <c r="A434" s="145" t="str">
        <f>IF(C434="","",VLOOKUP('Opći dio'!$C$3,'Opći dio'!$L$6:$U$136,10,FALSE))</f>
        <v/>
      </c>
      <c r="B434" s="145" t="str">
        <f>IF(C434="","",VLOOKUP('Opći dio'!$C$3,'Opći dio'!$L$6:$U$136,9,FALSE))</f>
        <v/>
      </c>
      <c r="C434" s="151"/>
      <c r="D434" s="146" t="str">
        <f t="shared" si="43"/>
        <v/>
      </c>
      <c r="E434" s="151"/>
      <c r="F434" s="146" t="str">
        <f t="shared" si="44"/>
        <v/>
      </c>
      <c r="G434" s="186"/>
      <c r="H434" s="146" t="str">
        <f t="shared" si="45"/>
        <v/>
      </c>
      <c r="I434" s="185"/>
      <c r="J434" s="185"/>
      <c r="K434" s="185"/>
      <c r="M434" s="141" t="str">
        <f t="shared" si="46"/>
        <v/>
      </c>
      <c r="N434" s="141" t="str">
        <f t="shared" si="47"/>
        <v/>
      </c>
    </row>
    <row r="435" spans="1:14">
      <c r="A435" s="145" t="str">
        <f>IF(C435="","",VLOOKUP('Opći dio'!$C$3,'Opći dio'!$L$6:$U$136,10,FALSE))</f>
        <v/>
      </c>
      <c r="B435" s="145" t="str">
        <f>IF(C435="","",VLOOKUP('Opći dio'!$C$3,'Opći dio'!$L$6:$U$136,9,FALSE))</f>
        <v/>
      </c>
      <c r="C435" s="151"/>
      <c r="D435" s="146" t="str">
        <f t="shared" si="43"/>
        <v/>
      </c>
      <c r="E435" s="151"/>
      <c r="F435" s="146" t="str">
        <f t="shared" si="44"/>
        <v/>
      </c>
      <c r="G435" s="186"/>
      <c r="H435" s="146" t="str">
        <f t="shared" si="45"/>
        <v/>
      </c>
      <c r="I435" s="185"/>
      <c r="J435" s="185"/>
      <c r="K435" s="185"/>
      <c r="M435" s="141" t="str">
        <f t="shared" si="46"/>
        <v/>
      </c>
      <c r="N435" s="141" t="str">
        <f t="shared" si="47"/>
        <v/>
      </c>
    </row>
    <row r="436" spans="1:14">
      <c r="A436" s="145" t="str">
        <f>IF(C436="","",VLOOKUP('Opći dio'!$C$3,'Opći dio'!$L$6:$U$136,10,FALSE))</f>
        <v/>
      </c>
      <c r="B436" s="145" t="str">
        <f>IF(C436="","",VLOOKUP('Opći dio'!$C$3,'Opći dio'!$L$6:$U$136,9,FALSE))</f>
        <v/>
      </c>
      <c r="C436" s="151"/>
      <c r="D436" s="146" t="str">
        <f t="shared" si="43"/>
        <v/>
      </c>
      <c r="E436" s="151"/>
      <c r="F436" s="146" t="str">
        <f t="shared" si="44"/>
        <v/>
      </c>
      <c r="G436" s="186"/>
      <c r="H436" s="146" t="str">
        <f t="shared" si="45"/>
        <v/>
      </c>
      <c r="I436" s="185"/>
      <c r="J436" s="185"/>
      <c r="K436" s="185"/>
      <c r="M436" s="141" t="str">
        <f t="shared" si="46"/>
        <v/>
      </c>
      <c r="N436" s="141" t="str">
        <f t="shared" si="47"/>
        <v/>
      </c>
    </row>
    <row r="437" spans="1:14">
      <c r="A437" s="145" t="str">
        <f>IF(C437="","",VLOOKUP('Opći dio'!$C$3,'Opći dio'!$L$6:$U$136,10,FALSE))</f>
        <v/>
      </c>
      <c r="B437" s="145" t="str">
        <f>IF(C437="","",VLOOKUP('Opći dio'!$C$3,'Opći dio'!$L$6:$U$136,9,FALSE))</f>
        <v/>
      </c>
      <c r="C437" s="151"/>
      <c r="D437" s="146" t="str">
        <f t="shared" si="43"/>
        <v/>
      </c>
      <c r="E437" s="151"/>
      <c r="F437" s="146" t="str">
        <f t="shared" si="44"/>
        <v/>
      </c>
      <c r="G437" s="186"/>
      <c r="H437" s="146" t="str">
        <f t="shared" si="45"/>
        <v/>
      </c>
      <c r="I437" s="185"/>
      <c r="J437" s="185"/>
      <c r="K437" s="185"/>
      <c r="M437" s="141" t="str">
        <f t="shared" si="46"/>
        <v/>
      </c>
      <c r="N437" s="141" t="str">
        <f t="shared" si="47"/>
        <v/>
      </c>
    </row>
    <row r="438" spans="1:14">
      <c r="A438" s="145" t="str">
        <f>IF(C438="","",VLOOKUP('Opći dio'!$C$3,'Opći dio'!$L$6:$U$136,10,FALSE))</f>
        <v/>
      </c>
      <c r="B438" s="145" t="str">
        <f>IF(C438="","",VLOOKUP('Opći dio'!$C$3,'Opći dio'!$L$6:$U$136,9,FALSE))</f>
        <v/>
      </c>
      <c r="C438" s="151"/>
      <c r="D438" s="146" t="str">
        <f t="shared" si="43"/>
        <v/>
      </c>
      <c r="E438" s="151"/>
      <c r="F438" s="146" t="str">
        <f t="shared" si="44"/>
        <v/>
      </c>
      <c r="G438" s="186"/>
      <c r="H438" s="146" t="str">
        <f t="shared" si="45"/>
        <v/>
      </c>
      <c r="I438" s="185"/>
      <c r="J438" s="185"/>
      <c r="K438" s="185"/>
      <c r="M438" s="141" t="str">
        <f t="shared" si="46"/>
        <v/>
      </c>
      <c r="N438" s="141" t="str">
        <f t="shared" si="47"/>
        <v/>
      </c>
    </row>
    <row r="439" spans="1:14">
      <c r="A439" s="145" t="str">
        <f>IF(C439="","",VLOOKUP('Opći dio'!$C$3,'Opći dio'!$L$6:$U$136,10,FALSE))</f>
        <v/>
      </c>
      <c r="B439" s="145" t="str">
        <f>IF(C439="","",VLOOKUP('Opći dio'!$C$3,'Opći dio'!$L$6:$U$136,9,FALSE))</f>
        <v/>
      </c>
      <c r="C439" s="151"/>
      <c r="D439" s="146" t="str">
        <f t="shared" si="43"/>
        <v/>
      </c>
      <c r="E439" s="151"/>
      <c r="F439" s="146" t="str">
        <f t="shared" si="44"/>
        <v/>
      </c>
      <c r="G439" s="186"/>
      <c r="H439" s="146" t="str">
        <f t="shared" si="45"/>
        <v/>
      </c>
      <c r="I439" s="185"/>
      <c r="J439" s="185"/>
      <c r="K439" s="185"/>
      <c r="M439" s="141" t="str">
        <f t="shared" si="46"/>
        <v/>
      </c>
      <c r="N439" s="141" t="str">
        <f t="shared" si="47"/>
        <v/>
      </c>
    </row>
    <row r="440" spans="1:14">
      <c r="A440" s="145" t="str">
        <f>IF(C440="","",VLOOKUP('Opći dio'!$C$3,'Opći dio'!$L$6:$U$136,10,FALSE))</f>
        <v/>
      </c>
      <c r="B440" s="145" t="str">
        <f>IF(C440="","",VLOOKUP('Opći dio'!$C$3,'Opći dio'!$L$6:$U$136,9,FALSE))</f>
        <v/>
      </c>
      <c r="C440" s="151"/>
      <c r="D440" s="146" t="str">
        <f t="shared" si="43"/>
        <v/>
      </c>
      <c r="E440" s="151"/>
      <c r="F440" s="146" t="str">
        <f t="shared" si="44"/>
        <v/>
      </c>
      <c r="G440" s="186"/>
      <c r="H440" s="146" t="str">
        <f t="shared" si="45"/>
        <v/>
      </c>
      <c r="I440" s="185"/>
      <c r="J440" s="185"/>
      <c r="K440" s="185"/>
      <c r="M440" s="141" t="str">
        <f t="shared" si="46"/>
        <v/>
      </c>
      <c r="N440" s="141" t="str">
        <f t="shared" si="47"/>
        <v/>
      </c>
    </row>
    <row r="441" spans="1:14">
      <c r="A441" s="145" t="str">
        <f>IF(C441="","",VLOOKUP('Opći dio'!$C$3,'Opći dio'!$L$6:$U$136,10,FALSE))</f>
        <v/>
      </c>
      <c r="B441" s="145" t="str">
        <f>IF(C441="","",VLOOKUP('Opći dio'!$C$3,'Opći dio'!$L$6:$U$136,9,FALSE))</f>
        <v/>
      </c>
      <c r="C441" s="151"/>
      <c r="D441" s="146" t="str">
        <f t="shared" si="43"/>
        <v/>
      </c>
      <c r="E441" s="151"/>
      <c r="F441" s="146" t="str">
        <f t="shared" si="44"/>
        <v/>
      </c>
      <c r="G441" s="186"/>
      <c r="H441" s="146" t="str">
        <f t="shared" si="45"/>
        <v/>
      </c>
      <c r="I441" s="185"/>
      <c r="J441" s="185"/>
      <c r="K441" s="185"/>
      <c r="M441" s="141" t="str">
        <f t="shared" si="46"/>
        <v/>
      </c>
      <c r="N441" s="141" t="str">
        <f t="shared" si="47"/>
        <v/>
      </c>
    </row>
    <row r="442" spans="1:14">
      <c r="A442" s="145" t="str">
        <f>IF(C442="","",VLOOKUP('Opći dio'!$C$3,'Opći dio'!$L$6:$U$136,10,FALSE))</f>
        <v/>
      </c>
      <c r="B442" s="145" t="str">
        <f>IF(C442="","",VLOOKUP('Opći dio'!$C$3,'Opći dio'!$L$6:$U$136,9,FALSE))</f>
        <v/>
      </c>
      <c r="C442" s="151"/>
      <c r="D442" s="146" t="str">
        <f t="shared" si="43"/>
        <v/>
      </c>
      <c r="E442" s="151"/>
      <c r="F442" s="146" t="str">
        <f t="shared" si="44"/>
        <v/>
      </c>
      <c r="G442" s="186"/>
      <c r="H442" s="146" t="str">
        <f t="shared" si="45"/>
        <v/>
      </c>
      <c r="I442" s="185"/>
      <c r="J442" s="185"/>
      <c r="K442" s="185"/>
      <c r="M442" s="141" t="str">
        <f t="shared" si="46"/>
        <v/>
      </c>
      <c r="N442" s="141" t="str">
        <f t="shared" si="47"/>
        <v/>
      </c>
    </row>
    <row r="443" spans="1:14">
      <c r="A443" s="145" t="str">
        <f>IF(C443="","",VLOOKUP('Opći dio'!$C$3,'Opći dio'!$L$6:$U$136,10,FALSE))</f>
        <v/>
      </c>
      <c r="B443" s="145" t="str">
        <f>IF(C443="","",VLOOKUP('Opći dio'!$C$3,'Opći dio'!$L$6:$U$136,9,FALSE))</f>
        <v/>
      </c>
      <c r="C443" s="151"/>
      <c r="D443" s="146" t="str">
        <f t="shared" si="43"/>
        <v/>
      </c>
      <c r="E443" s="151"/>
      <c r="F443" s="146" t="str">
        <f t="shared" si="44"/>
        <v/>
      </c>
      <c r="G443" s="186"/>
      <c r="H443" s="146" t="str">
        <f t="shared" si="45"/>
        <v/>
      </c>
      <c r="I443" s="185"/>
      <c r="J443" s="185"/>
      <c r="K443" s="185"/>
      <c r="M443" s="141" t="str">
        <f t="shared" si="46"/>
        <v/>
      </c>
      <c r="N443" s="141" t="str">
        <f t="shared" si="47"/>
        <v/>
      </c>
    </row>
    <row r="444" spans="1:14">
      <c r="A444" s="145" t="str">
        <f>IF(C444="","",VLOOKUP('Opći dio'!$C$3,'Opći dio'!$L$6:$U$136,10,FALSE))</f>
        <v/>
      </c>
      <c r="B444" s="145" t="str">
        <f>IF(C444="","",VLOOKUP('Opći dio'!$C$3,'Opći dio'!$L$6:$U$136,9,FALSE))</f>
        <v/>
      </c>
      <c r="C444" s="151"/>
      <c r="D444" s="146" t="str">
        <f t="shared" si="43"/>
        <v/>
      </c>
      <c r="E444" s="151"/>
      <c r="F444" s="146" t="str">
        <f t="shared" si="44"/>
        <v/>
      </c>
      <c r="G444" s="186"/>
      <c r="H444" s="146" t="str">
        <f t="shared" si="45"/>
        <v/>
      </c>
      <c r="I444" s="185"/>
      <c r="J444" s="185"/>
      <c r="K444" s="185"/>
      <c r="M444" s="141" t="str">
        <f t="shared" si="46"/>
        <v/>
      </c>
      <c r="N444" s="141" t="str">
        <f t="shared" si="47"/>
        <v/>
      </c>
    </row>
    <row r="445" spans="1:14">
      <c r="A445" s="145" t="str">
        <f>IF(C445="","",VLOOKUP('Opći dio'!$C$3,'Opći dio'!$L$6:$U$136,10,FALSE))</f>
        <v/>
      </c>
      <c r="B445" s="145" t="str">
        <f>IF(C445="","",VLOOKUP('Opći dio'!$C$3,'Opći dio'!$L$6:$U$136,9,FALSE))</f>
        <v/>
      </c>
      <c r="C445" s="151"/>
      <c r="D445" s="146" t="str">
        <f t="shared" si="43"/>
        <v/>
      </c>
      <c r="E445" s="151"/>
      <c r="F445" s="146" t="str">
        <f t="shared" si="44"/>
        <v/>
      </c>
      <c r="G445" s="186"/>
      <c r="H445" s="146" t="str">
        <f t="shared" si="45"/>
        <v/>
      </c>
      <c r="I445" s="185"/>
      <c r="J445" s="185"/>
      <c r="K445" s="185"/>
      <c r="M445" s="141" t="str">
        <f t="shared" si="46"/>
        <v/>
      </c>
      <c r="N445" s="141" t="str">
        <f t="shared" si="47"/>
        <v/>
      </c>
    </row>
    <row r="446" spans="1:14">
      <c r="A446" s="145" t="str">
        <f>IF(C446="","",VLOOKUP('Opći dio'!$C$3,'Opći dio'!$L$6:$U$136,10,FALSE))</f>
        <v/>
      </c>
      <c r="B446" s="145" t="str">
        <f>IF(C446="","",VLOOKUP('Opći dio'!$C$3,'Opći dio'!$L$6:$U$136,9,FALSE))</f>
        <v/>
      </c>
      <c r="C446" s="151"/>
      <c r="D446" s="146" t="str">
        <f t="shared" si="43"/>
        <v/>
      </c>
      <c r="E446" s="151"/>
      <c r="F446" s="146" t="str">
        <f t="shared" si="44"/>
        <v/>
      </c>
      <c r="G446" s="186"/>
      <c r="H446" s="146" t="str">
        <f t="shared" si="45"/>
        <v/>
      </c>
      <c r="I446" s="185"/>
      <c r="J446" s="185"/>
      <c r="K446" s="185"/>
      <c r="M446" s="141" t="str">
        <f t="shared" si="46"/>
        <v/>
      </c>
      <c r="N446" s="141" t="str">
        <f t="shared" si="47"/>
        <v/>
      </c>
    </row>
    <row r="447" spans="1:14">
      <c r="A447" s="145" t="str">
        <f>IF(C447="","",VLOOKUP('Opći dio'!$C$3,'Opći dio'!$L$6:$U$136,10,FALSE))</f>
        <v/>
      </c>
      <c r="B447" s="145" t="str">
        <f>IF(C447="","",VLOOKUP('Opći dio'!$C$3,'Opći dio'!$L$6:$U$136,9,FALSE))</f>
        <v/>
      </c>
      <c r="C447" s="151"/>
      <c r="D447" s="146" t="str">
        <f t="shared" si="43"/>
        <v/>
      </c>
      <c r="E447" s="151"/>
      <c r="F447" s="146" t="str">
        <f t="shared" si="44"/>
        <v/>
      </c>
      <c r="G447" s="186"/>
      <c r="H447" s="146" t="str">
        <f t="shared" si="45"/>
        <v/>
      </c>
      <c r="I447" s="185"/>
      <c r="J447" s="185"/>
      <c r="K447" s="185"/>
      <c r="M447" s="141" t="str">
        <f t="shared" si="46"/>
        <v/>
      </c>
      <c r="N447" s="141" t="str">
        <f t="shared" si="47"/>
        <v/>
      </c>
    </row>
    <row r="448" spans="1:14">
      <c r="A448" s="145" t="str">
        <f>IF(C448="","",VLOOKUP('Opći dio'!$C$3,'Opći dio'!$L$6:$U$136,10,FALSE))</f>
        <v/>
      </c>
      <c r="B448" s="145" t="str">
        <f>IF(C448="","",VLOOKUP('Opći dio'!$C$3,'Opći dio'!$L$6:$U$136,9,FALSE))</f>
        <v/>
      </c>
      <c r="C448" s="151"/>
      <c r="D448" s="146" t="str">
        <f t="shared" si="43"/>
        <v/>
      </c>
      <c r="E448" s="151"/>
      <c r="F448" s="146" t="str">
        <f t="shared" si="44"/>
        <v/>
      </c>
      <c r="G448" s="186"/>
      <c r="H448" s="146" t="str">
        <f t="shared" si="45"/>
        <v/>
      </c>
      <c r="I448" s="185"/>
      <c r="J448" s="185"/>
      <c r="K448" s="185"/>
      <c r="M448" s="141" t="str">
        <f t="shared" si="46"/>
        <v/>
      </c>
      <c r="N448" s="141" t="str">
        <f t="shared" si="47"/>
        <v/>
      </c>
    </row>
    <row r="449" spans="1:14">
      <c r="A449" s="145" t="str">
        <f>IF(C449="","",VLOOKUP('Opći dio'!$C$3,'Opći dio'!$L$6:$U$136,10,FALSE))</f>
        <v/>
      </c>
      <c r="B449" s="145" t="str">
        <f>IF(C449="","",VLOOKUP('Opći dio'!$C$3,'Opći dio'!$L$6:$U$136,9,FALSE))</f>
        <v/>
      </c>
      <c r="C449" s="151"/>
      <c r="D449" s="146" t="str">
        <f t="shared" si="43"/>
        <v/>
      </c>
      <c r="E449" s="151"/>
      <c r="F449" s="146" t="str">
        <f t="shared" si="44"/>
        <v/>
      </c>
      <c r="G449" s="186"/>
      <c r="H449" s="146" t="str">
        <f t="shared" si="45"/>
        <v/>
      </c>
      <c r="I449" s="185"/>
      <c r="J449" s="185"/>
      <c r="K449" s="185"/>
      <c r="M449" s="141" t="str">
        <f t="shared" si="46"/>
        <v/>
      </c>
      <c r="N449" s="141" t="str">
        <f t="shared" si="47"/>
        <v/>
      </c>
    </row>
    <row r="450" spans="1:14">
      <c r="A450" s="145" t="str">
        <f>IF(C450="","",VLOOKUP('Opći dio'!$C$3,'Opći dio'!$L$6:$U$136,10,FALSE))</f>
        <v/>
      </c>
      <c r="B450" s="145" t="str">
        <f>IF(C450="","",VLOOKUP('Opći dio'!$C$3,'Opći dio'!$L$6:$U$136,9,FALSE))</f>
        <v/>
      </c>
      <c r="C450" s="151"/>
      <c r="D450" s="146" t="str">
        <f t="shared" si="43"/>
        <v/>
      </c>
      <c r="E450" s="151"/>
      <c r="F450" s="146" t="str">
        <f t="shared" si="44"/>
        <v/>
      </c>
      <c r="G450" s="186"/>
      <c r="H450" s="146" t="str">
        <f t="shared" si="45"/>
        <v/>
      </c>
      <c r="I450" s="185"/>
      <c r="J450" s="185"/>
      <c r="K450" s="185"/>
      <c r="M450" s="141" t="str">
        <f t="shared" si="46"/>
        <v/>
      </c>
      <c r="N450" s="141" t="str">
        <f t="shared" si="47"/>
        <v/>
      </c>
    </row>
    <row r="451" spans="1:14">
      <c r="A451" s="145" t="str">
        <f>IF(C451="","",VLOOKUP('Opći dio'!$C$3,'Opći dio'!$L$6:$U$136,10,FALSE))</f>
        <v/>
      </c>
      <c r="B451" s="145" t="str">
        <f>IF(C451="","",VLOOKUP('Opći dio'!$C$3,'Opći dio'!$L$6:$U$136,9,FALSE))</f>
        <v/>
      </c>
      <c r="C451" s="151"/>
      <c r="D451" s="146" t="str">
        <f t="shared" si="43"/>
        <v/>
      </c>
      <c r="E451" s="151"/>
      <c r="F451" s="146" t="str">
        <f t="shared" si="44"/>
        <v/>
      </c>
      <c r="G451" s="186"/>
      <c r="H451" s="146" t="str">
        <f t="shared" si="45"/>
        <v/>
      </c>
      <c r="I451" s="185"/>
      <c r="J451" s="185"/>
      <c r="K451" s="185"/>
      <c r="M451" s="141" t="str">
        <f t="shared" si="46"/>
        <v/>
      </c>
      <c r="N451" s="141" t="str">
        <f t="shared" si="47"/>
        <v/>
      </c>
    </row>
    <row r="452" spans="1:14">
      <c r="A452" s="145" t="str">
        <f>IF(C452="","",VLOOKUP('Opći dio'!$C$3,'Opći dio'!$L$6:$U$136,10,FALSE))</f>
        <v/>
      </c>
      <c r="B452" s="145" t="str">
        <f>IF(C452="","",VLOOKUP('Opći dio'!$C$3,'Opći dio'!$L$6:$U$136,9,FALSE))</f>
        <v/>
      </c>
      <c r="C452" s="151"/>
      <c r="D452" s="146" t="str">
        <f t="shared" ref="D452:D501" si="48">IFERROR(VLOOKUP(C452,$O$6:$P$23,2,FALSE),"")</f>
        <v/>
      </c>
      <c r="E452" s="151"/>
      <c r="F452" s="146" t="str">
        <f t="shared" ref="F452:F501" si="49">IFERROR(VLOOKUP(E452,$R$5:$T$129,2,FALSE),"")</f>
        <v/>
      </c>
      <c r="G452" s="186"/>
      <c r="H452" s="146" t="str">
        <f t="shared" ref="H452:H501" si="50">IFERROR(VLOOKUP(G452,$X$6:$Y$200,2,FALSE),"")</f>
        <v/>
      </c>
      <c r="I452" s="185"/>
      <c r="J452" s="185"/>
      <c r="K452" s="185"/>
      <c r="M452" s="141" t="str">
        <f t="shared" ref="M452:M501" si="51">LEFT(E452,3)</f>
        <v/>
      </c>
      <c r="N452" s="141" t="str">
        <f t="shared" ref="N452:N501" si="52">LEFT(E452,2)</f>
        <v/>
      </c>
    </row>
    <row r="453" spans="1:14">
      <c r="A453" s="145" t="str">
        <f>IF(C453="","",VLOOKUP('Opći dio'!$C$3,'Opći dio'!$L$6:$U$136,10,FALSE))</f>
        <v/>
      </c>
      <c r="B453" s="145" t="str">
        <f>IF(C453="","",VLOOKUP('Opći dio'!$C$3,'Opći dio'!$L$6:$U$136,9,FALSE))</f>
        <v/>
      </c>
      <c r="C453" s="151"/>
      <c r="D453" s="146" t="str">
        <f t="shared" si="48"/>
        <v/>
      </c>
      <c r="E453" s="151"/>
      <c r="F453" s="146" t="str">
        <f t="shared" si="49"/>
        <v/>
      </c>
      <c r="G453" s="186"/>
      <c r="H453" s="146" t="str">
        <f t="shared" si="50"/>
        <v/>
      </c>
      <c r="I453" s="185"/>
      <c r="J453" s="185"/>
      <c r="K453" s="185"/>
      <c r="M453" s="141" t="str">
        <f t="shared" si="51"/>
        <v/>
      </c>
      <c r="N453" s="141" t="str">
        <f t="shared" si="52"/>
        <v/>
      </c>
    </row>
    <row r="454" spans="1:14">
      <c r="A454" s="145" t="str">
        <f>IF(C454="","",VLOOKUP('Opći dio'!$C$3,'Opći dio'!$L$6:$U$136,10,FALSE))</f>
        <v/>
      </c>
      <c r="B454" s="145" t="str">
        <f>IF(C454="","",VLOOKUP('Opći dio'!$C$3,'Opći dio'!$L$6:$U$136,9,FALSE))</f>
        <v/>
      </c>
      <c r="C454" s="151"/>
      <c r="D454" s="146" t="str">
        <f t="shared" si="48"/>
        <v/>
      </c>
      <c r="E454" s="151"/>
      <c r="F454" s="146" t="str">
        <f t="shared" si="49"/>
        <v/>
      </c>
      <c r="G454" s="186"/>
      <c r="H454" s="146" t="str">
        <f t="shared" si="50"/>
        <v/>
      </c>
      <c r="I454" s="185"/>
      <c r="J454" s="185"/>
      <c r="K454" s="185"/>
      <c r="M454" s="141" t="str">
        <f t="shared" si="51"/>
        <v/>
      </c>
      <c r="N454" s="141" t="str">
        <f t="shared" si="52"/>
        <v/>
      </c>
    </row>
    <row r="455" spans="1:14">
      <c r="A455" s="145" t="str">
        <f>IF(C455="","",VLOOKUP('Opći dio'!$C$3,'Opći dio'!$L$6:$U$136,10,FALSE))</f>
        <v/>
      </c>
      <c r="B455" s="145" t="str">
        <f>IF(C455="","",VLOOKUP('Opći dio'!$C$3,'Opći dio'!$L$6:$U$136,9,FALSE))</f>
        <v/>
      </c>
      <c r="C455" s="151"/>
      <c r="D455" s="146" t="str">
        <f t="shared" si="48"/>
        <v/>
      </c>
      <c r="E455" s="151"/>
      <c r="F455" s="146" t="str">
        <f t="shared" si="49"/>
        <v/>
      </c>
      <c r="G455" s="186"/>
      <c r="H455" s="146" t="str">
        <f t="shared" si="50"/>
        <v/>
      </c>
      <c r="I455" s="185"/>
      <c r="J455" s="185"/>
      <c r="K455" s="185"/>
      <c r="M455" s="141" t="str">
        <f t="shared" si="51"/>
        <v/>
      </c>
      <c r="N455" s="141" t="str">
        <f t="shared" si="52"/>
        <v/>
      </c>
    </row>
    <row r="456" spans="1:14">
      <c r="A456" s="145" t="str">
        <f>IF(C456="","",VLOOKUP('Opći dio'!$C$3,'Opći dio'!$L$6:$U$136,10,FALSE))</f>
        <v/>
      </c>
      <c r="B456" s="145" t="str">
        <f>IF(C456="","",VLOOKUP('Opći dio'!$C$3,'Opći dio'!$L$6:$U$136,9,FALSE))</f>
        <v/>
      </c>
      <c r="C456" s="151"/>
      <c r="D456" s="146" t="str">
        <f t="shared" si="48"/>
        <v/>
      </c>
      <c r="E456" s="151"/>
      <c r="F456" s="146" t="str">
        <f t="shared" si="49"/>
        <v/>
      </c>
      <c r="G456" s="186"/>
      <c r="H456" s="146" t="str">
        <f t="shared" si="50"/>
        <v/>
      </c>
      <c r="I456" s="185"/>
      <c r="J456" s="185"/>
      <c r="K456" s="185"/>
      <c r="M456" s="141" t="str">
        <f t="shared" si="51"/>
        <v/>
      </c>
      <c r="N456" s="141" t="str">
        <f t="shared" si="52"/>
        <v/>
      </c>
    </row>
    <row r="457" spans="1:14">
      <c r="A457" s="145" t="str">
        <f>IF(C457="","",VLOOKUP('Opći dio'!$C$3,'Opći dio'!$L$6:$U$136,10,FALSE))</f>
        <v/>
      </c>
      <c r="B457" s="145" t="str">
        <f>IF(C457="","",VLOOKUP('Opći dio'!$C$3,'Opći dio'!$L$6:$U$136,9,FALSE))</f>
        <v/>
      </c>
      <c r="C457" s="151"/>
      <c r="D457" s="146" t="str">
        <f t="shared" si="48"/>
        <v/>
      </c>
      <c r="E457" s="151"/>
      <c r="F457" s="146" t="str">
        <f t="shared" si="49"/>
        <v/>
      </c>
      <c r="G457" s="186"/>
      <c r="H457" s="146" t="str">
        <f t="shared" si="50"/>
        <v/>
      </c>
      <c r="I457" s="185"/>
      <c r="J457" s="185"/>
      <c r="K457" s="185"/>
      <c r="M457" s="141" t="str">
        <f t="shared" si="51"/>
        <v/>
      </c>
      <c r="N457" s="141" t="str">
        <f t="shared" si="52"/>
        <v/>
      </c>
    </row>
    <row r="458" spans="1:14">
      <c r="A458" s="145" t="str">
        <f>IF(C458="","",VLOOKUP('Opći dio'!$C$3,'Opći dio'!$L$6:$U$136,10,FALSE))</f>
        <v/>
      </c>
      <c r="B458" s="145" t="str">
        <f>IF(C458="","",VLOOKUP('Opći dio'!$C$3,'Opći dio'!$L$6:$U$136,9,FALSE))</f>
        <v/>
      </c>
      <c r="C458" s="151"/>
      <c r="D458" s="146" t="str">
        <f t="shared" si="48"/>
        <v/>
      </c>
      <c r="E458" s="151"/>
      <c r="F458" s="146" t="str">
        <f t="shared" si="49"/>
        <v/>
      </c>
      <c r="G458" s="186"/>
      <c r="H458" s="146" t="str">
        <f t="shared" si="50"/>
        <v/>
      </c>
      <c r="I458" s="185"/>
      <c r="J458" s="185"/>
      <c r="K458" s="185"/>
      <c r="M458" s="141" t="str">
        <f t="shared" si="51"/>
        <v/>
      </c>
      <c r="N458" s="141" t="str">
        <f t="shared" si="52"/>
        <v/>
      </c>
    </row>
    <row r="459" spans="1:14">
      <c r="A459" s="145" t="str">
        <f>IF(C459="","",VLOOKUP('Opći dio'!$C$3,'Opći dio'!$L$6:$U$136,10,FALSE))</f>
        <v/>
      </c>
      <c r="B459" s="145" t="str">
        <f>IF(C459="","",VLOOKUP('Opći dio'!$C$3,'Opći dio'!$L$6:$U$136,9,FALSE))</f>
        <v/>
      </c>
      <c r="C459" s="151"/>
      <c r="D459" s="146" t="str">
        <f t="shared" si="48"/>
        <v/>
      </c>
      <c r="E459" s="151"/>
      <c r="F459" s="146" t="str">
        <f t="shared" si="49"/>
        <v/>
      </c>
      <c r="G459" s="186"/>
      <c r="H459" s="146" t="str">
        <f t="shared" si="50"/>
        <v/>
      </c>
      <c r="I459" s="185"/>
      <c r="J459" s="185"/>
      <c r="K459" s="185"/>
      <c r="M459" s="141" t="str">
        <f t="shared" si="51"/>
        <v/>
      </c>
      <c r="N459" s="141" t="str">
        <f t="shared" si="52"/>
        <v/>
      </c>
    </row>
    <row r="460" spans="1:14">
      <c r="A460" s="145" t="str">
        <f>IF(C460="","",VLOOKUP('Opći dio'!$C$3,'Opći dio'!$L$6:$U$136,10,FALSE))</f>
        <v/>
      </c>
      <c r="B460" s="145" t="str">
        <f>IF(C460="","",VLOOKUP('Opći dio'!$C$3,'Opći dio'!$L$6:$U$136,9,FALSE))</f>
        <v/>
      </c>
      <c r="C460" s="151"/>
      <c r="D460" s="146" t="str">
        <f t="shared" si="48"/>
        <v/>
      </c>
      <c r="E460" s="151"/>
      <c r="F460" s="146" t="str">
        <f t="shared" si="49"/>
        <v/>
      </c>
      <c r="G460" s="186"/>
      <c r="H460" s="146" t="str">
        <f t="shared" si="50"/>
        <v/>
      </c>
      <c r="I460" s="185"/>
      <c r="J460" s="185"/>
      <c r="K460" s="185"/>
      <c r="M460" s="141" t="str">
        <f t="shared" si="51"/>
        <v/>
      </c>
      <c r="N460" s="141" t="str">
        <f t="shared" si="52"/>
        <v/>
      </c>
    </row>
    <row r="461" spans="1:14">
      <c r="A461" s="145" t="str">
        <f>IF(C461="","",VLOOKUP('Opći dio'!$C$3,'Opći dio'!$L$6:$U$136,10,FALSE))</f>
        <v/>
      </c>
      <c r="B461" s="145" t="str">
        <f>IF(C461="","",VLOOKUP('Opći dio'!$C$3,'Opći dio'!$L$6:$U$136,9,FALSE))</f>
        <v/>
      </c>
      <c r="C461" s="151"/>
      <c r="D461" s="146" t="str">
        <f t="shared" si="48"/>
        <v/>
      </c>
      <c r="E461" s="151"/>
      <c r="F461" s="146" t="str">
        <f t="shared" si="49"/>
        <v/>
      </c>
      <c r="G461" s="186"/>
      <c r="H461" s="146" t="str">
        <f t="shared" si="50"/>
        <v/>
      </c>
      <c r="I461" s="185"/>
      <c r="J461" s="185"/>
      <c r="K461" s="185"/>
      <c r="M461" s="141" t="str">
        <f t="shared" si="51"/>
        <v/>
      </c>
      <c r="N461" s="141" t="str">
        <f t="shared" si="52"/>
        <v/>
      </c>
    </row>
    <row r="462" spans="1:14">
      <c r="A462" s="145" t="str">
        <f>IF(C462="","",VLOOKUP('Opći dio'!$C$3,'Opći dio'!$L$6:$U$136,10,FALSE))</f>
        <v/>
      </c>
      <c r="B462" s="145" t="str">
        <f>IF(C462="","",VLOOKUP('Opći dio'!$C$3,'Opći dio'!$L$6:$U$136,9,FALSE))</f>
        <v/>
      </c>
      <c r="C462" s="151"/>
      <c r="D462" s="146" t="str">
        <f t="shared" si="48"/>
        <v/>
      </c>
      <c r="E462" s="151"/>
      <c r="F462" s="146" t="str">
        <f t="shared" si="49"/>
        <v/>
      </c>
      <c r="G462" s="186"/>
      <c r="H462" s="146" t="str">
        <f t="shared" si="50"/>
        <v/>
      </c>
      <c r="I462" s="185"/>
      <c r="J462" s="185"/>
      <c r="K462" s="185"/>
      <c r="M462" s="141" t="str">
        <f t="shared" si="51"/>
        <v/>
      </c>
      <c r="N462" s="141" t="str">
        <f t="shared" si="52"/>
        <v/>
      </c>
    </row>
    <row r="463" spans="1:14">
      <c r="A463" s="145" t="str">
        <f>IF(C463="","",VLOOKUP('Opći dio'!$C$3,'Opći dio'!$L$6:$U$136,10,FALSE))</f>
        <v/>
      </c>
      <c r="B463" s="145" t="str">
        <f>IF(C463="","",VLOOKUP('Opći dio'!$C$3,'Opći dio'!$L$6:$U$136,9,FALSE))</f>
        <v/>
      </c>
      <c r="C463" s="151"/>
      <c r="D463" s="146" t="str">
        <f t="shared" si="48"/>
        <v/>
      </c>
      <c r="E463" s="151"/>
      <c r="F463" s="146" t="str">
        <f t="shared" si="49"/>
        <v/>
      </c>
      <c r="G463" s="186"/>
      <c r="H463" s="146" t="str">
        <f t="shared" si="50"/>
        <v/>
      </c>
      <c r="I463" s="185"/>
      <c r="J463" s="185"/>
      <c r="K463" s="185"/>
      <c r="M463" s="141" t="str">
        <f t="shared" si="51"/>
        <v/>
      </c>
      <c r="N463" s="141" t="str">
        <f t="shared" si="52"/>
        <v/>
      </c>
    </row>
    <row r="464" spans="1:14">
      <c r="A464" s="145" t="str">
        <f>IF(C464="","",VLOOKUP('Opći dio'!$C$3,'Opći dio'!$L$6:$U$136,10,FALSE))</f>
        <v/>
      </c>
      <c r="B464" s="145" t="str">
        <f>IF(C464="","",VLOOKUP('Opći dio'!$C$3,'Opći dio'!$L$6:$U$136,9,FALSE))</f>
        <v/>
      </c>
      <c r="C464" s="151"/>
      <c r="D464" s="146" t="str">
        <f t="shared" si="48"/>
        <v/>
      </c>
      <c r="E464" s="151"/>
      <c r="F464" s="146" t="str">
        <f t="shared" si="49"/>
        <v/>
      </c>
      <c r="G464" s="186"/>
      <c r="H464" s="146" t="str">
        <f t="shared" si="50"/>
        <v/>
      </c>
      <c r="I464" s="185"/>
      <c r="J464" s="185"/>
      <c r="K464" s="185"/>
      <c r="M464" s="141" t="str">
        <f t="shared" si="51"/>
        <v/>
      </c>
      <c r="N464" s="141" t="str">
        <f t="shared" si="52"/>
        <v/>
      </c>
    </row>
    <row r="465" spans="1:14">
      <c r="A465" s="145" t="str">
        <f>IF(C465="","",VLOOKUP('Opći dio'!$C$3,'Opći dio'!$L$6:$U$136,10,FALSE))</f>
        <v/>
      </c>
      <c r="B465" s="145" t="str">
        <f>IF(C465="","",VLOOKUP('Opći dio'!$C$3,'Opći dio'!$L$6:$U$136,9,FALSE))</f>
        <v/>
      </c>
      <c r="C465" s="151"/>
      <c r="D465" s="146" t="str">
        <f t="shared" si="48"/>
        <v/>
      </c>
      <c r="E465" s="151"/>
      <c r="F465" s="146" t="str">
        <f t="shared" si="49"/>
        <v/>
      </c>
      <c r="G465" s="186"/>
      <c r="H465" s="146" t="str">
        <f t="shared" si="50"/>
        <v/>
      </c>
      <c r="I465" s="185"/>
      <c r="J465" s="185"/>
      <c r="K465" s="185"/>
      <c r="M465" s="141" t="str">
        <f t="shared" si="51"/>
        <v/>
      </c>
      <c r="N465" s="141" t="str">
        <f t="shared" si="52"/>
        <v/>
      </c>
    </row>
    <row r="466" spans="1:14">
      <c r="A466" s="145" t="str">
        <f>IF(C466="","",VLOOKUP('Opći dio'!$C$3,'Opći dio'!$L$6:$U$136,10,FALSE))</f>
        <v/>
      </c>
      <c r="B466" s="145" t="str">
        <f>IF(C466="","",VLOOKUP('Opći dio'!$C$3,'Opći dio'!$L$6:$U$136,9,FALSE))</f>
        <v/>
      </c>
      <c r="C466" s="151"/>
      <c r="D466" s="146" t="str">
        <f t="shared" si="48"/>
        <v/>
      </c>
      <c r="E466" s="151"/>
      <c r="F466" s="146" t="str">
        <f t="shared" si="49"/>
        <v/>
      </c>
      <c r="G466" s="186"/>
      <c r="H466" s="146" t="str">
        <f t="shared" si="50"/>
        <v/>
      </c>
      <c r="I466" s="185"/>
      <c r="J466" s="185"/>
      <c r="K466" s="185"/>
      <c r="M466" s="141" t="str">
        <f t="shared" si="51"/>
        <v/>
      </c>
      <c r="N466" s="141" t="str">
        <f t="shared" si="52"/>
        <v/>
      </c>
    </row>
    <row r="467" spans="1:14">
      <c r="A467" s="145" t="str">
        <f>IF(C467="","",VLOOKUP('Opći dio'!$C$3,'Opći dio'!$L$6:$U$136,10,FALSE))</f>
        <v/>
      </c>
      <c r="B467" s="145" t="str">
        <f>IF(C467="","",VLOOKUP('Opći dio'!$C$3,'Opći dio'!$L$6:$U$136,9,FALSE))</f>
        <v/>
      </c>
      <c r="C467" s="151"/>
      <c r="D467" s="146" t="str">
        <f t="shared" si="48"/>
        <v/>
      </c>
      <c r="E467" s="151"/>
      <c r="F467" s="146" t="str">
        <f t="shared" si="49"/>
        <v/>
      </c>
      <c r="G467" s="186"/>
      <c r="H467" s="146" t="str">
        <f t="shared" si="50"/>
        <v/>
      </c>
      <c r="I467" s="185"/>
      <c r="J467" s="185"/>
      <c r="K467" s="185"/>
      <c r="M467" s="141" t="str">
        <f t="shared" si="51"/>
        <v/>
      </c>
      <c r="N467" s="141" t="str">
        <f t="shared" si="52"/>
        <v/>
      </c>
    </row>
    <row r="468" spans="1:14">
      <c r="A468" s="145" t="str">
        <f>IF(C468="","",VLOOKUP('Opći dio'!$C$3,'Opći dio'!$L$6:$U$136,10,FALSE))</f>
        <v/>
      </c>
      <c r="B468" s="145" t="str">
        <f>IF(C468="","",VLOOKUP('Opći dio'!$C$3,'Opći dio'!$L$6:$U$136,9,FALSE))</f>
        <v/>
      </c>
      <c r="C468" s="151"/>
      <c r="D468" s="146" t="str">
        <f t="shared" si="48"/>
        <v/>
      </c>
      <c r="E468" s="151"/>
      <c r="F468" s="146" t="str">
        <f t="shared" si="49"/>
        <v/>
      </c>
      <c r="G468" s="186"/>
      <c r="H468" s="146" t="str">
        <f t="shared" si="50"/>
        <v/>
      </c>
      <c r="I468" s="185"/>
      <c r="J468" s="185"/>
      <c r="K468" s="185"/>
      <c r="M468" s="141" t="str">
        <f t="shared" si="51"/>
        <v/>
      </c>
      <c r="N468" s="141" t="str">
        <f t="shared" si="52"/>
        <v/>
      </c>
    </row>
    <row r="469" spans="1:14">
      <c r="A469" s="145" t="str">
        <f>IF(C469="","",VLOOKUP('Opći dio'!$C$3,'Opći dio'!$L$6:$U$136,10,FALSE))</f>
        <v/>
      </c>
      <c r="B469" s="145" t="str">
        <f>IF(C469="","",VLOOKUP('Opći dio'!$C$3,'Opći dio'!$L$6:$U$136,9,FALSE))</f>
        <v/>
      </c>
      <c r="C469" s="151"/>
      <c r="D469" s="146" t="str">
        <f t="shared" si="48"/>
        <v/>
      </c>
      <c r="E469" s="151"/>
      <c r="F469" s="146" t="str">
        <f t="shared" si="49"/>
        <v/>
      </c>
      <c r="G469" s="186"/>
      <c r="H469" s="146" t="str">
        <f t="shared" si="50"/>
        <v/>
      </c>
      <c r="I469" s="185"/>
      <c r="J469" s="185"/>
      <c r="K469" s="185"/>
      <c r="M469" s="141" t="str">
        <f t="shared" si="51"/>
        <v/>
      </c>
      <c r="N469" s="141" t="str">
        <f t="shared" si="52"/>
        <v/>
      </c>
    </row>
    <row r="470" spans="1:14">
      <c r="A470" s="145" t="str">
        <f>IF(C470="","",VLOOKUP('Opći dio'!$C$3,'Opći dio'!$L$6:$U$136,10,FALSE))</f>
        <v/>
      </c>
      <c r="B470" s="145" t="str">
        <f>IF(C470="","",VLOOKUP('Opći dio'!$C$3,'Opći dio'!$L$6:$U$136,9,FALSE))</f>
        <v/>
      </c>
      <c r="C470" s="151"/>
      <c r="D470" s="146" t="str">
        <f t="shared" si="48"/>
        <v/>
      </c>
      <c r="E470" s="151"/>
      <c r="F470" s="146" t="str">
        <f t="shared" si="49"/>
        <v/>
      </c>
      <c r="G470" s="186"/>
      <c r="H470" s="146" t="str">
        <f t="shared" si="50"/>
        <v/>
      </c>
      <c r="I470" s="185"/>
      <c r="J470" s="185"/>
      <c r="K470" s="185"/>
      <c r="M470" s="141" t="str">
        <f t="shared" si="51"/>
        <v/>
      </c>
      <c r="N470" s="141" t="str">
        <f t="shared" si="52"/>
        <v/>
      </c>
    </row>
    <row r="471" spans="1:14">
      <c r="A471" s="145" t="str">
        <f>IF(C471="","",VLOOKUP('Opći dio'!$C$3,'Opći dio'!$L$6:$U$136,10,FALSE))</f>
        <v/>
      </c>
      <c r="B471" s="145" t="str">
        <f>IF(C471="","",VLOOKUP('Opći dio'!$C$3,'Opći dio'!$L$6:$U$136,9,FALSE))</f>
        <v/>
      </c>
      <c r="C471" s="151"/>
      <c r="D471" s="146" t="str">
        <f t="shared" si="48"/>
        <v/>
      </c>
      <c r="E471" s="151"/>
      <c r="F471" s="146" t="str">
        <f t="shared" si="49"/>
        <v/>
      </c>
      <c r="G471" s="186"/>
      <c r="H471" s="146" t="str">
        <f t="shared" si="50"/>
        <v/>
      </c>
      <c r="I471" s="185"/>
      <c r="J471" s="185"/>
      <c r="K471" s="185"/>
      <c r="M471" s="141" t="str">
        <f t="shared" si="51"/>
        <v/>
      </c>
      <c r="N471" s="141" t="str">
        <f t="shared" si="52"/>
        <v/>
      </c>
    </row>
    <row r="472" spans="1:14">
      <c r="A472" s="145" t="str">
        <f>IF(C472="","",VLOOKUP('Opći dio'!$C$3,'Opći dio'!$L$6:$U$136,10,FALSE))</f>
        <v/>
      </c>
      <c r="B472" s="145" t="str">
        <f>IF(C472="","",VLOOKUP('Opći dio'!$C$3,'Opći dio'!$L$6:$U$136,9,FALSE))</f>
        <v/>
      </c>
      <c r="C472" s="151"/>
      <c r="D472" s="146" t="str">
        <f t="shared" si="48"/>
        <v/>
      </c>
      <c r="E472" s="151"/>
      <c r="F472" s="146" t="str">
        <f t="shared" si="49"/>
        <v/>
      </c>
      <c r="G472" s="186"/>
      <c r="H472" s="146" t="str">
        <f t="shared" si="50"/>
        <v/>
      </c>
      <c r="I472" s="185"/>
      <c r="J472" s="185"/>
      <c r="K472" s="185"/>
      <c r="M472" s="141" t="str">
        <f t="shared" si="51"/>
        <v/>
      </c>
      <c r="N472" s="141" t="str">
        <f t="shared" si="52"/>
        <v/>
      </c>
    </row>
    <row r="473" spans="1:14">
      <c r="A473" s="145" t="str">
        <f>IF(C473="","",VLOOKUP('Opći dio'!$C$3,'Opći dio'!$L$6:$U$136,10,FALSE))</f>
        <v/>
      </c>
      <c r="B473" s="145" t="str">
        <f>IF(C473="","",VLOOKUP('Opći dio'!$C$3,'Opći dio'!$L$6:$U$136,9,FALSE))</f>
        <v/>
      </c>
      <c r="C473" s="151"/>
      <c r="D473" s="146" t="str">
        <f t="shared" si="48"/>
        <v/>
      </c>
      <c r="E473" s="151"/>
      <c r="F473" s="146" t="str">
        <f t="shared" si="49"/>
        <v/>
      </c>
      <c r="G473" s="186"/>
      <c r="H473" s="146" t="str">
        <f t="shared" si="50"/>
        <v/>
      </c>
      <c r="I473" s="185"/>
      <c r="J473" s="185"/>
      <c r="K473" s="185"/>
      <c r="M473" s="141" t="str">
        <f t="shared" si="51"/>
        <v/>
      </c>
      <c r="N473" s="141" t="str">
        <f t="shared" si="52"/>
        <v/>
      </c>
    </row>
    <row r="474" spans="1:14">
      <c r="A474" s="145" t="str">
        <f>IF(C474="","",VLOOKUP('Opći dio'!$C$3,'Opći dio'!$L$6:$U$136,10,FALSE))</f>
        <v/>
      </c>
      <c r="B474" s="145" t="str">
        <f>IF(C474="","",VLOOKUP('Opći dio'!$C$3,'Opći dio'!$L$6:$U$136,9,FALSE))</f>
        <v/>
      </c>
      <c r="C474" s="151"/>
      <c r="D474" s="146" t="str">
        <f t="shared" si="48"/>
        <v/>
      </c>
      <c r="E474" s="151"/>
      <c r="F474" s="146" t="str">
        <f t="shared" si="49"/>
        <v/>
      </c>
      <c r="G474" s="186"/>
      <c r="H474" s="146" t="str">
        <f t="shared" si="50"/>
        <v/>
      </c>
      <c r="I474" s="185"/>
      <c r="J474" s="185"/>
      <c r="K474" s="185"/>
      <c r="M474" s="141" t="str">
        <f t="shared" si="51"/>
        <v/>
      </c>
      <c r="N474" s="141" t="str">
        <f t="shared" si="52"/>
        <v/>
      </c>
    </row>
    <row r="475" spans="1:14">
      <c r="A475" s="145" t="str">
        <f>IF(C475="","",VLOOKUP('Opći dio'!$C$3,'Opći dio'!$L$6:$U$136,10,FALSE))</f>
        <v/>
      </c>
      <c r="B475" s="145" t="str">
        <f>IF(C475="","",VLOOKUP('Opći dio'!$C$3,'Opći dio'!$L$6:$U$136,9,FALSE))</f>
        <v/>
      </c>
      <c r="C475" s="151"/>
      <c r="D475" s="146" t="str">
        <f t="shared" si="48"/>
        <v/>
      </c>
      <c r="E475" s="151"/>
      <c r="F475" s="146" t="str">
        <f t="shared" si="49"/>
        <v/>
      </c>
      <c r="G475" s="186"/>
      <c r="H475" s="146" t="str">
        <f t="shared" si="50"/>
        <v/>
      </c>
      <c r="I475" s="185"/>
      <c r="J475" s="185"/>
      <c r="K475" s="185"/>
      <c r="M475" s="141" t="str">
        <f t="shared" si="51"/>
        <v/>
      </c>
      <c r="N475" s="141" t="str">
        <f t="shared" si="52"/>
        <v/>
      </c>
    </row>
    <row r="476" spans="1:14">
      <c r="A476" s="145" t="str">
        <f>IF(C476="","",VLOOKUP('Opći dio'!$C$3,'Opći dio'!$L$6:$U$136,10,FALSE))</f>
        <v/>
      </c>
      <c r="B476" s="145" t="str">
        <f>IF(C476="","",VLOOKUP('Opći dio'!$C$3,'Opći dio'!$L$6:$U$136,9,FALSE))</f>
        <v/>
      </c>
      <c r="C476" s="151"/>
      <c r="D476" s="146" t="str">
        <f t="shared" si="48"/>
        <v/>
      </c>
      <c r="E476" s="151"/>
      <c r="F476" s="146" t="str">
        <f t="shared" si="49"/>
        <v/>
      </c>
      <c r="G476" s="186"/>
      <c r="H476" s="146" t="str">
        <f t="shared" si="50"/>
        <v/>
      </c>
      <c r="I476" s="185"/>
      <c r="J476" s="185"/>
      <c r="K476" s="185"/>
      <c r="M476" s="141" t="str">
        <f t="shared" si="51"/>
        <v/>
      </c>
      <c r="N476" s="141" t="str">
        <f t="shared" si="52"/>
        <v/>
      </c>
    </row>
    <row r="477" spans="1:14">
      <c r="A477" s="145" t="str">
        <f>IF(C477="","",VLOOKUP('Opći dio'!$C$3,'Opći dio'!$L$6:$U$136,10,FALSE))</f>
        <v/>
      </c>
      <c r="B477" s="145" t="str">
        <f>IF(C477="","",VLOOKUP('Opći dio'!$C$3,'Opći dio'!$L$6:$U$136,9,FALSE))</f>
        <v/>
      </c>
      <c r="C477" s="151"/>
      <c r="D477" s="146" t="str">
        <f t="shared" si="48"/>
        <v/>
      </c>
      <c r="E477" s="151"/>
      <c r="F477" s="146" t="str">
        <f t="shared" si="49"/>
        <v/>
      </c>
      <c r="G477" s="186"/>
      <c r="H477" s="146" t="str">
        <f t="shared" si="50"/>
        <v/>
      </c>
      <c r="I477" s="185"/>
      <c r="J477" s="185"/>
      <c r="K477" s="185"/>
      <c r="M477" s="141" t="str">
        <f t="shared" si="51"/>
        <v/>
      </c>
      <c r="N477" s="141" t="str">
        <f t="shared" si="52"/>
        <v/>
      </c>
    </row>
    <row r="478" spans="1:14">
      <c r="A478" s="145" t="str">
        <f>IF(C478="","",VLOOKUP('Opći dio'!$C$3,'Opći dio'!$L$6:$U$136,10,FALSE))</f>
        <v/>
      </c>
      <c r="B478" s="145" t="str">
        <f>IF(C478="","",VLOOKUP('Opći dio'!$C$3,'Opći dio'!$L$6:$U$136,9,FALSE))</f>
        <v/>
      </c>
      <c r="C478" s="151"/>
      <c r="D478" s="146" t="str">
        <f t="shared" si="48"/>
        <v/>
      </c>
      <c r="E478" s="151"/>
      <c r="F478" s="146" t="str">
        <f t="shared" si="49"/>
        <v/>
      </c>
      <c r="G478" s="186"/>
      <c r="H478" s="146" t="str">
        <f t="shared" si="50"/>
        <v/>
      </c>
      <c r="I478" s="185"/>
      <c r="J478" s="185"/>
      <c r="K478" s="185"/>
      <c r="M478" s="141" t="str">
        <f t="shared" si="51"/>
        <v/>
      </c>
      <c r="N478" s="141" t="str">
        <f t="shared" si="52"/>
        <v/>
      </c>
    </row>
    <row r="479" spans="1:14">
      <c r="A479" s="145" t="str">
        <f>IF(C479="","",VLOOKUP('Opći dio'!$C$3,'Opći dio'!$L$6:$U$136,10,FALSE))</f>
        <v/>
      </c>
      <c r="B479" s="145" t="str">
        <f>IF(C479="","",VLOOKUP('Opći dio'!$C$3,'Opći dio'!$L$6:$U$136,9,FALSE))</f>
        <v/>
      </c>
      <c r="C479" s="151"/>
      <c r="D479" s="146" t="str">
        <f t="shared" si="48"/>
        <v/>
      </c>
      <c r="E479" s="151"/>
      <c r="F479" s="146" t="str">
        <f t="shared" si="49"/>
        <v/>
      </c>
      <c r="G479" s="186"/>
      <c r="H479" s="146" t="str">
        <f t="shared" si="50"/>
        <v/>
      </c>
      <c r="I479" s="185"/>
      <c r="J479" s="185"/>
      <c r="K479" s="185"/>
      <c r="M479" s="141" t="str">
        <f t="shared" si="51"/>
        <v/>
      </c>
      <c r="N479" s="141" t="str">
        <f t="shared" si="52"/>
        <v/>
      </c>
    </row>
    <row r="480" spans="1:14">
      <c r="A480" s="145" t="str">
        <f>IF(C480="","",VLOOKUP('Opći dio'!$C$3,'Opći dio'!$L$6:$U$136,10,FALSE))</f>
        <v/>
      </c>
      <c r="B480" s="145" t="str">
        <f>IF(C480="","",VLOOKUP('Opći dio'!$C$3,'Opći dio'!$L$6:$U$136,9,FALSE))</f>
        <v/>
      </c>
      <c r="C480" s="151"/>
      <c r="D480" s="146" t="str">
        <f t="shared" si="48"/>
        <v/>
      </c>
      <c r="E480" s="151"/>
      <c r="F480" s="146" t="str">
        <f t="shared" si="49"/>
        <v/>
      </c>
      <c r="G480" s="186"/>
      <c r="H480" s="146" t="str">
        <f t="shared" si="50"/>
        <v/>
      </c>
      <c r="I480" s="185"/>
      <c r="J480" s="185"/>
      <c r="K480" s="185"/>
      <c r="M480" s="141" t="str">
        <f t="shared" si="51"/>
        <v/>
      </c>
      <c r="N480" s="141" t="str">
        <f t="shared" si="52"/>
        <v/>
      </c>
    </row>
    <row r="481" spans="1:14">
      <c r="A481" s="145" t="str">
        <f>IF(C481="","",VLOOKUP('Opći dio'!$C$3,'Opći dio'!$L$6:$U$136,10,FALSE))</f>
        <v/>
      </c>
      <c r="B481" s="145" t="str">
        <f>IF(C481="","",VLOOKUP('Opći dio'!$C$3,'Opći dio'!$L$6:$U$136,9,FALSE))</f>
        <v/>
      </c>
      <c r="C481" s="151"/>
      <c r="D481" s="146" t="str">
        <f t="shared" si="48"/>
        <v/>
      </c>
      <c r="E481" s="151"/>
      <c r="F481" s="146" t="str">
        <f t="shared" si="49"/>
        <v/>
      </c>
      <c r="G481" s="186"/>
      <c r="H481" s="146" t="str">
        <f t="shared" si="50"/>
        <v/>
      </c>
      <c r="I481" s="185"/>
      <c r="J481" s="185"/>
      <c r="K481" s="185"/>
      <c r="M481" s="141" t="str">
        <f t="shared" si="51"/>
        <v/>
      </c>
      <c r="N481" s="141" t="str">
        <f t="shared" si="52"/>
        <v/>
      </c>
    </row>
    <row r="482" spans="1:14">
      <c r="A482" s="145" t="str">
        <f>IF(C482="","",VLOOKUP('Opći dio'!$C$3,'Opći dio'!$L$6:$U$136,10,FALSE))</f>
        <v/>
      </c>
      <c r="B482" s="145" t="str">
        <f>IF(C482="","",VLOOKUP('Opći dio'!$C$3,'Opći dio'!$L$6:$U$136,9,FALSE))</f>
        <v/>
      </c>
      <c r="C482" s="151"/>
      <c r="D482" s="146" t="str">
        <f t="shared" si="48"/>
        <v/>
      </c>
      <c r="E482" s="151"/>
      <c r="F482" s="146" t="str">
        <f t="shared" si="49"/>
        <v/>
      </c>
      <c r="G482" s="186"/>
      <c r="H482" s="146" t="str">
        <f t="shared" si="50"/>
        <v/>
      </c>
      <c r="I482" s="185"/>
      <c r="J482" s="185"/>
      <c r="K482" s="185"/>
      <c r="M482" s="141" t="str">
        <f t="shared" si="51"/>
        <v/>
      </c>
      <c r="N482" s="141" t="str">
        <f t="shared" si="52"/>
        <v/>
      </c>
    </row>
    <row r="483" spans="1:14">
      <c r="A483" s="145" t="str">
        <f>IF(C483="","",VLOOKUP('Opći dio'!$C$3,'Opći dio'!$L$6:$U$136,10,FALSE))</f>
        <v/>
      </c>
      <c r="B483" s="145" t="str">
        <f>IF(C483="","",VLOOKUP('Opći dio'!$C$3,'Opći dio'!$L$6:$U$136,9,FALSE))</f>
        <v/>
      </c>
      <c r="C483" s="151"/>
      <c r="D483" s="146" t="str">
        <f t="shared" si="48"/>
        <v/>
      </c>
      <c r="E483" s="151"/>
      <c r="F483" s="146" t="str">
        <f t="shared" si="49"/>
        <v/>
      </c>
      <c r="G483" s="186"/>
      <c r="H483" s="146" t="str">
        <f t="shared" si="50"/>
        <v/>
      </c>
      <c r="I483" s="185"/>
      <c r="J483" s="185"/>
      <c r="K483" s="185"/>
      <c r="M483" s="141" t="str">
        <f t="shared" si="51"/>
        <v/>
      </c>
      <c r="N483" s="141" t="str">
        <f t="shared" si="52"/>
        <v/>
      </c>
    </row>
    <row r="484" spans="1:14">
      <c r="A484" s="145" t="str">
        <f>IF(C484="","",VLOOKUP('Opći dio'!$C$3,'Opći dio'!$L$6:$U$136,10,FALSE))</f>
        <v/>
      </c>
      <c r="B484" s="145" t="str">
        <f>IF(C484="","",VLOOKUP('Opći dio'!$C$3,'Opći dio'!$L$6:$U$136,9,FALSE))</f>
        <v/>
      </c>
      <c r="C484" s="151"/>
      <c r="D484" s="146" t="str">
        <f t="shared" si="48"/>
        <v/>
      </c>
      <c r="E484" s="151"/>
      <c r="F484" s="146" t="str">
        <f t="shared" si="49"/>
        <v/>
      </c>
      <c r="G484" s="186"/>
      <c r="H484" s="146" t="str">
        <f t="shared" si="50"/>
        <v/>
      </c>
      <c r="I484" s="185"/>
      <c r="J484" s="185"/>
      <c r="K484" s="185"/>
      <c r="M484" s="141" t="str">
        <f t="shared" si="51"/>
        <v/>
      </c>
      <c r="N484" s="141" t="str">
        <f t="shared" si="52"/>
        <v/>
      </c>
    </row>
    <row r="485" spans="1:14">
      <c r="A485" s="145" t="str">
        <f>IF(C485="","",VLOOKUP('Opći dio'!$C$3,'Opći dio'!$L$6:$U$136,10,FALSE))</f>
        <v/>
      </c>
      <c r="B485" s="145" t="str">
        <f>IF(C485="","",VLOOKUP('Opći dio'!$C$3,'Opći dio'!$L$6:$U$136,9,FALSE))</f>
        <v/>
      </c>
      <c r="C485" s="151"/>
      <c r="D485" s="146" t="str">
        <f t="shared" si="48"/>
        <v/>
      </c>
      <c r="E485" s="151"/>
      <c r="F485" s="146" t="str">
        <f t="shared" si="49"/>
        <v/>
      </c>
      <c r="G485" s="186"/>
      <c r="H485" s="146" t="str">
        <f t="shared" si="50"/>
        <v/>
      </c>
      <c r="I485" s="185"/>
      <c r="J485" s="185"/>
      <c r="K485" s="185"/>
      <c r="M485" s="141" t="str">
        <f t="shared" si="51"/>
        <v/>
      </c>
      <c r="N485" s="141" t="str">
        <f t="shared" si="52"/>
        <v/>
      </c>
    </row>
    <row r="486" spans="1:14">
      <c r="A486" s="145" t="str">
        <f>IF(C486="","",VLOOKUP('Opći dio'!$C$3,'Opći dio'!$L$6:$U$136,10,FALSE))</f>
        <v/>
      </c>
      <c r="B486" s="145" t="str">
        <f>IF(C486="","",VLOOKUP('Opći dio'!$C$3,'Opći dio'!$L$6:$U$136,9,FALSE))</f>
        <v/>
      </c>
      <c r="C486" s="151"/>
      <c r="D486" s="146" t="str">
        <f t="shared" si="48"/>
        <v/>
      </c>
      <c r="E486" s="151"/>
      <c r="F486" s="146" t="str">
        <f t="shared" si="49"/>
        <v/>
      </c>
      <c r="G486" s="186"/>
      <c r="H486" s="146" t="str">
        <f t="shared" si="50"/>
        <v/>
      </c>
      <c r="I486" s="185"/>
      <c r="J486" s="185"/>
      <c r="K486" s="185"/>
      <c r="M486" s="141" t="str">
        <f t="shared" si="51"/>
        <v/>
      </c>
      <c r="N486" s="141" t="str">
        <f t="shared" si="52"/>
        <v/>
      </c>
    </row>
    <row r="487" spans="1:14">
      <c r="A487" s="145" t="str">
        <f>IF(C487="","",VLOOKUP('Opći dio'!$C$3,'Opći dio'!$L$6:$U$136,10,FALSE))</f>
        <v/>
      </c>
      <c r="B487" s="145" t="str">
        <f>IF(C487="","",VLOOKUP('Opći dio'!$C$3,'Opći dio'!$L$6:$U$136,9,FALSE))</f>
        <v/>
      </c>
      <c r="C487" s="151"/>
      <c r="D487" s="146" t="str">
        <f t="shared" si="48"/>
        <v/>
      </c>
      <c r="E487" s="151"/>
      <c r="F487" s="146" t="str">
        <f t="shared" si="49"/>
        <v/>
      </c>
      <c r="G487" s="186"/>
      <c r="H487" s="146" t="str">
        <f t="shared" si="50"/>
        <v/>
      </c>
      <c r="I487" s="185"/>
      <c r="J487" s="185"/>
      <c r="K487" s="185"/>
      <c r="M487" s="141" t="str">
        <f t="shared" si="51"/>
        <v/>
      </c>
      <c r="N487" s="141" t="str">
        <f t="shared" si="52"/>
        <v/>
      </c>
    </row>
    <row r="488" spans="1:14">
      <c r="A488" s="145" t="str">
        <f>IF(C488="","",VLOOKUP('Opći dio'!$C$3,'Opći dio'!$L$6:$U$136,10,FALSE))</f>
        <v/>
      </c>
      <c r="B488" s="145" t="str">
        <f>IF(C488="","",VLOOKUP('Opći dio'!$C$3,'Opći dio'!$L$6:$U$136,9,FALSE))</f>
        <v/>
      </c>
      <c r="C488" s="151"/>
      <c r="D488" s="146" t="str">
        <f t="shared" si="48"/>
        <v/>
      </c>
      <c r="E488" s="151"/>
      <c r="F488" s="146" t="str">
        <f t="shared" si="49"/>
        <v/>
      </c>
      <c r="G488" s="186"/>
      <c r="H488" s="146" t="str">
        <f t="shared" si="50"/>
        <v/>
      </c>
      <c r="I488" s="185"/>
      <c r="J488" s="185"/>
      <c r="K488" s="185"/>
      <c r="M488" s="141" t="str">
        <f t="shared" si="51"/>
        <v/>
      </c>
      <c r="N488" s="141" t="str">
        <f t="shared" si="52"/>
        <v/>
      </c>
    </row>
    <row r="489" spans="1:14">
      <c r="A489" s="145" t="str">
        <f>IF(C489="","",VLOOKUP('Opći dio'!$C$3,'Opći dio'!$L$6:$U$136,10,FALSE))</f>
        <v/>
      </c>
      <c r="B489" s="145" t="str">
        <f>IF(C489="","",VLOOKUP('Opći dio'!$C$3,'Opći dio'!$L$6:$U$136,9,FALSE))</f>
        <v/>
      </c>
      <c r="C489" s="151"/>
      <c r="D489" s="146" t="str">
        <f t="shared" si="48"/>
        <v/>
      </c>
      <c r="E489" s="151"/>
      <c r="F489" s="146" t="str">
        <f t="shared" si="49"/>
        <v/>
      </c>
      <c r="G489" s="186"/>
      <c r="H489" s="146" t="str">
        <f t="shared" si="50"/>
        <v/>
      </c>
      <c r="I489" s="185"/>
      <c r="J489" s="185"/>
      <c r="K489" s="185"/>
      <c r="M489" s="141" t="str">
        <f t="shared" si="51"/>
        <v/>
      </c>
      <c r="N489" s="141" t="str">
        <f t="shared" si="52"/>
        <v/>
      </c>
    </row>
    <row r="490" spans="1:14">
      <c r="A490" s="145" t="str">
        <f>IF(C490="","",VLOOKUP('Opći dio'!$C$3,'Opći dio'!$L$6:$U$136,10,FALSE))</f>
        <v/>
      </c>
      <c r="B490" s="145" t="str">
        <f>IF(C490="","",VLOOKUP('Opći dio'!$C$3,'Opći dio'!$L$6:$U$136,9,FALSE))</f>
        <v/>
      </c>
      <c r="C490" s="151"/>
      <c r="D490" s="146" t="str">
        <f t="shared" si="48"/>
        <v/>
      </c>
      <c r="E490" s="151"/>
      <c r="F490" s="146" t="str">
        <f t="shared" si="49"/>
        <v/>
      </c>
      <c r="G490" s="186"/>
      <c r="H490" s="146" t="str">
        <f t="shared" si="50"/>
        <v/>
      </c>
      <c r="I490" s="185"/>
      <c r="J490" s="185"/>
      <c r="K490" s="185"/>
      <c r="M490" s="141" t="str">
        <f t="shared" si="51"/>
        <v/>
      </c>
      <c r="N490" s="141" t="str">
        <f t="shared" si="52"/>
        <v/>
      </c>
    </row>
    <row r="491" spans="1:14">
      <c r="A491" s="145" t="str">
        <f>IF(C491="","",VLOOKUP('Opći dio'!$C$3,'Opći dio'!$L$6:$U$136,10,FALSE))</f>
        <v/>
      </c>
      <c r="B491" s="145" t="str">
        <f>IF(C491="","",VLOOKUP('Opći dio'!$C$3,'Opći dio'!$L$6:$U$136,9,FALSE))</f>
        <v/>
      </c>
      <c r="C491" s="151"/>
      <c r="D491" s="146" t="str">
        <f t="shared" si="48"/>
        <v/>
      </c>
      <c r="E491" s="151"/>
      <c r="F491" s="146" t="str">
        <f t="shared" si="49"/>
        <v/>
      </c>
      <c r="G491" s="186"/>
      <c r="H491" s="146" t="str">
        <f t="shared" si="50"/>
        <v/>
      </c>
      <c r="I491" s="185"/>
      <c r="J491" s="185"/>
      <c r="K491" s="185"/>
      <c r="M491" s="141" t="str">
        <f t="shared" si="51"/>
        <v/>
      </c>
      <c r="N491" s="141" t="str">
        <f t="shared" si="52"/>
        <v/>
      </c>
    </row>
    <row r="492" spans="1:14">
      <c r="A492" s="145" t="str">
        <f>IF(C492="","",VLOOKUP('Opći dio'!$C$3,'Opći dio'!$L$6:$U$136,10,FALSE))</f>
        <v/>
      </c>
      <c r="B492" s="145" t="str">
        <f>IF(C492="","",VLOOKUP('Opći dio'!$C$3,'Opći dio'!$L$6:$U$136,9,FALSE))</f>
        <v/>
      </c>
      <c r="C492" s="151"/>
      <c r="D492" s="146" t="str">
        <f t="shared" si="48"/>
        <v/>
      </c>
      <c r="E492" s="151"/>
      <c r="F492" s="146" t="str">
        <f t="shared" si="49"/>
        <v/>
      </c>
      <c r="G492" s="186"/>
      <c r="H492" s="146" t="str">
        <f t="shared" si="50"/>
        <v/>
      </c>
      <c r="I492" s="185"/>
      <c r="J492" s="185"/>
      <c r="K492" s="185"/>
      <c r="M492" s="141" t="str">
        <f t="shared" si="51"/>
        <v/>
      </c>
      <c r="N492" s="141" t="str">
        <f t="shared" si="52"/>
        <v/>
      </c>
    </row>
    <row r="493" spans="1:14">
      <c r="A493" s="145" t="str">
        <f>IF(C493="","",VLOOKUP('Opći dio'!$C$3,'Opći dio'!$L$6:$U$136,10,FALSE))</f>
        <v/>
      </c>
      <c r="B493" s="145" t="str">
        <f>IF(C493="","",VLOOKUP('Opći dio'!$C$3,'Opći dio'!$L$6:$U$136,9,FALSE))</f>
        <v/>
      </c>
      <c r="C493" s="151"/>
      <c r="D493" s="146" t="str">
        <f t="shared" si="48"/>
        <v/>
      </c>
      <c r="E493" s="151"/>
      <c r="F493" s="146" t="str">
        <f t="shared" si="49"/>
        <v/>
      </c>
      <c r="G493" s="186"/>
      <c r="H493" s="146" t="str">
        <f t="shared" si="50"/>
        <v/>
      </c>
      <c r="I493" s="185"/>
      <c r="J493" s="185"/>
      <c r="K493" s="185"/>
      <c r="M493" s="141" t="str">
        <f t="shared" si="51"/>
        <v/>
      </c>
      <c r="N493" s="141" t="str">
        <f t="shared" si="52"/>
        <v/>
      </c>
    </row>
    <row r="494" spans="1:14">
      <c r="A494" s="145" t="str">
        <f>IF(C494="","",VLOOKUP('Opći dio'!$C$3,'Opći dio'!$L$6:$U$136,10,FALSE))</f>
        <v/>
      </c>
      <c r="B494" s="145" t="str">
        <f>IF(C494="","",VLOOKUP('Opći dio'!$C$3,'Opći dio'!$L$6:$U$136,9,FALSE))</f>
        <v/>
      </c>
      <c r="C494" s="151"/>
      <c r="D494" s="146" t="str">
        <f t="shared" si="48"/>
        <v/>
      </c>
      <c r="E494" s="151"/>
      <c r="F494" s="146" t="str">
        <f t="shared" si="49"/>
        <v/>
      </c>
      <c r="G494" s="186"/>
      <c r="H494" s="146" t="str">
        <f t="shared" si="50"/>
        <v/>
      </c>
      <c r="I494" s="185"/>
      <c r="J494" s="185"/>
      <c r="K494" s="185"/>
      <c r="M494" s="141" t="str">
        <f t="shared" si="51"/>
        <v/>
      </c>
      <c r="N494" s="141" t="str">
        <f t="shared" si="52"/>
        <v/>
      </c>
    </row>
    <row r="495" spans="1:14">
      <c r="A495" s="145" t="str">
        <f>IF(C495="","",VLOOKUP('Opći dio'!$C$3,'Opći dio'!$L$6:$U$136,10,FALSE))</f>
        <v/>
      </c>
      <c r="B495" s="145" t="str">
        <f>IF(C495="","",VLOOKUP('Opći dio'!$C$3,'Opći dio'!$L$6:$U$136,9,FALSE))</f>
        <v/>
      </c>
      <c r="C495" s="151"/>
      <c r="D495" s="146" t="str">
        <f t="shared" si="48"/>
        <v/>
      </c>
      <c r="E495" s="151"/>
      <c r="F495" s="146" t="str">
        <f t="shared" si="49"/>
        <v/>
      </c>
      <c r="G495" s="186"/>
      <c r="H495" s="146" t="str">
        <f t="shared" si="50"/>
        <v/>
      </c>
      <c r="I495" s="185"/>
      <c r="J495" s="185"/>
      <c r="K495" s="185"/>
      <c r="M495" s="141" t="str">
        <f t="shared" si="51"/>
        <v/>
      </c>
      <c r="N495" s="141" t="str">
        <f t="shared" si="52"/>
        <v/>
      </c>
    </row>
    <row r="496" spans="1:14">
      <c r="A496" s="145" t="str">
        <f>IF(C496="","",VLOOKUP('Opći dio'!$C$3,'Opći dio'!$L$6:$U$136,10,FALSE))</f>
        <v/>
      </c>
      <c r="B496" s="145" t="str">
        <f>IF(C496="","",VLOOKUP('Opći dio'!$C$3,'Opći dio'!$L$6:$U$136,9,FALSE))</f>
        <v/>
      </c>
      <c r="C496" s="151"/>
      <c r="D496" s="146" t="str">
        <f t="shared" si="48"/>
        <v/>
      </c>
      <c r="E496" s="151"/>
      <c r="F496" s="146" t="str">
        <f t="shared" si="49"/>
        <v/>
      </c>
      <c r="G496" s="186"/>
      <c r="H496" s="146" t="str">
        <f t="shared" si="50"/>
        <v/>
      </c>
      <c r="I496" s="185"/>
      <c r="J496" s="185"/>
      <c r="K496" s="185"/>
      <c r="M496" s="141" t="str">
        <f t="shared" si="51"/>
        <v/>
      </c>
      <c r="N496" s="141" t="str">
        <f t="shared" si="52"/>
        <v/>
      </c>
    </row>
    <row r="497" spans="1:14">
      <c r="A497" s="145" t="str">
        <f>IF(C497="","",VLOOKUP('Opći dio'!$C$3,'Opći dio'!$L$6:$U$136,10,FALSE))</f>
        <v/>
      </c>
      <c r="B497" s="145" t="str">
        <f>IF(C497="","",VLOOKUP('Opći dio'!$C$3,'Opći dio'!$L$6:$U$136,9,FALSE))</f>
        <v/>
      </c>
      <c r="C497" s="151"/>
      <c r="D497" s="146" t="str">
        <f t="shared" si="48"/>
        <v/>
      </c>
      <c r="E497" s="151"/>
      <c r="F497" s="146" t="str">
        <f t="shared" si="49"/>
        <v/>
      </c>
      <c r="G497" s="186"/>
      <c r="H497" s="146" t="str">
        <f t="shared" si="50"/>
        <v/>
      </c>
      <c r="I497" s="185"/>
      <c r="J497" s="185"/>
      <c r="K497" s="185"/>
      <c r="M497" s="141" t="str">
        <f t="shared" si="51"/>
        <v/>
      </c>
      <c r="N497" s="141" t="str">
        <f t="shared" si="52"/>
        <v/>
      </c>
    </row>
    <row r="498" spans="1:14">
      <c r="A498" s="145" t="str">
        <f>IF(C498="","",VLOOKUP('Opći dio'!$C$3,'Opći dio'!$L$6:$U$136,10,FALSE))</f>
        <v/>
      </c>
      <c r="B498" s="145" t="str">
        <f>IF(C498="","",VLOOKUP('Opći dio'!$C$3,'Opći dio'!$L$6:$U$136,9,FALSE))</f>
        <v/>
      </c>
      <c r="C498" s="151"/>
      <c r="D498" s="146" t="str">
        <f t="shared" si="48"/>
        <v/>
      </c>
      <c r="E498" s="151"/>
      <c r="F498" s="146" t="str">
        <f t="shared" si="49"/>
        <v/>
      </c>
      <c r="G498" s="186"/>
      <c r="H498" s="146" t="str">
        <f t="shared" si="50"/>
        <v/>
      </c>
      <c r="I498" s="185"/>
      <c r="J498" s="185"/>
      <c r="K498" s="185"/>
      <c r="M498" s="141" t="str">
        <f t="shared" si="51"/>
        <v/>
      </c>
      <c r="N498" s="141" t="str">
        <f t="shared" si="52"/>
        <v/>
      </c>
    </row>
    <row r="499" spans="1:14">
      <c r="A499" s="145" t="str">
        <f>IF(C499="","",VLOOKUP('Opći dio'!$C$3,'Opći dio'!$L$6:$U$136,10,FALSE))</f>
        <v/>
      </c>
      <c r="B499" s="145" t="str">
        <f>IF(C499="","",VLOOKUP('Opći dio'!$C$3,'Opći dio'!$L$6:$U$136,9,FALSE))</f>
        <v/>
      </c>
      <c r="C499" s="151"/>
      <c r="D499" s="146" t="str">
        <f t="shared" si="48"/>
        <v/>
      </c>
      <c r="E499" s="151"/>
      <c r="F499" s="146" t="str">
        <f t="shared" si="49"/>
        <v/>
      </c>
      <c r="G499" s="186"/>
      <c r="H499" s="146" t="str">
        <f t="shared" si="50"/>
        <v/>
      </c>
      <c r="I499" s="185"/>
      <c r="J499" s="185"/>
      <c r="K499" s="185"/>
      <c r="M499" s="141" t="str">
        <f t="shared" si="51"/>
        <v/>
      </c>
      <c r="N499" s="141" t="str">
        <f t="shared" si="52"/>
        <v/>
      </c>
    </row>
    <row r="500" spans="1:14">
      <c r="A500" s="145" t="str">
        <f>IF(C500="","",VLOOKUP('Opći dio'!$C$3,'Opći dio'!$L$6:$U$136,10,FALSE))</f>
        <v/>
      </c>
      <c r="B500" s="145" t="str">
        <f>IF(C500="","",VLOOKUP('Opći dio'!$C$3,'Opći dio'!$L$6:$U$136,9,FALSE))</f>
        <v/>
      </c>
      <c r="C500" s="151"/>
      <c r="D500" s="146" t="str">
        <f t="shared" si="48"/>
        <v/>
      </c>
      <c r="E500" s="151"/>
      <c r="F500" s="146" t="str">
        <f t="shared" si="49"/>
        <v/>
      </c>
      <c r="G500" s="186"/>
      <c r="H500" s="146" t="str">
        <f t="shared" si="50"/>
        <v/>
      </c>
      <c r="I500" s="185"/>
      <c r="J500" s="185"/>
      <c r="K500" s="185"/>
      <c r="M500" s="141" t="str">
        <f t="shared" si="51"/>
        <v/>
      </c>
      <c r="N500" s="141" t="str">
        <f t="shared" si="52"/>
        <v/>
      </c>
    </row>
    <row r="501" spans="1:14">
      <c r="A501" s="145" t="str">
        <f>IF(C501="","",VLOOKUP('Opći dio'!$C$3,'Opći dio'!$L$6:$U$136,10,FALSE))</f>
        <v/>
      </c>
      <c r="B501" s="145" t="str">
        <f>IF(C501="","",VLOOKUP('Opći dio'!$C$3,'Opći dio'!$L$6:$U$136,9,FALSE))</f>
        <v/>
      </c>
      <c r="C501" s="151"/>
      <c r="D501" s="146" t="str">
        <f t="shared" si="48"/>
        <v/>
      </c>
      <c r="E501" s="151"/>
      <c r="F501" s="146" t="str">
        <f t="shared" si="49"/>
        <v/>
      </c>
      <c r="G501" s="186"/>
      <c r="H501" s="146" t="str">
        <f t="shared" si="50"/>
        <v/>
      </c>
      <c r="I501" s="185"/>
      <c r="J501" s="185"/>
      <c r="K501" s="185"/>
      <c r="M501" s="141" t="str">
        <f t="shared" si="51"/>
        <v/>
      </c>
      <c r="N501" s="141" t="str">
        <f t="shared" si="52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password="DE31" sheet="1" objects="1" scenarios="1" selectLockedCells="1"/>
  <sortState ref="X9:Y71">
    <sortCondition ref="X6"/>
  </sortState>
  <mergeCells count="1">
    <mergeCell ref="A1:D1"/>
  </mergeCells>
  <dataValidations count="4">
    <dataValidation type="whole" allowBlank="1" showInputMessage="1" showErrorMessage="1" errorTitle="GREŠKA" error="U ovo polje je dozvoljen unos samo brojčanih vrijednosti (bez decimala!)" sqref="I3:K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$X$6:$X$177</formula1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B502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9.140625" defaultRowHeight="15" zeroHeight="1"/>
  <cols>
    <col min="1" max="1" width="11.5703125" style="141" customWidth="1"/>
    <col min="2" max="2" width="32.140625" style="141" customWidth="1"/>
    <col min="3" max="3" width="11.28515625" style="141" customWidth="1"/>
    <col min="4" max="4" width="25.42578125" style="141" customWidth="1"/>
    <col min="5" max="5" width="16.42578125" style="141" customWidth="1"/>
    <col min="6" max="6" width="27.140625" style="141" customWidth="1"/>
    <col min="7" max="7" width="16.42578125" style="142" customWidth="1"/>
    <col min="8" max="8" width="15.7109375" style="142" customWidth="1"/>
    <col min="9" max="9" width="15.140625" style="142" customWidth="1"/>
    <col min="10" max="10" width="33.7109375" style="142" customWidth="1"/>
    <col min="11" max="12" width="9.5703125" style="142" customWidth="1"/>
    <col min="13" max="13" width="15.140625" style="142" customWidth="1"/>
    <col min="14" max="14" width="18.28515625" style="142" customWidth="1"/>
    <col min="15" max="15" width="9.140625" style="141" customWidth="1"/>
    <col min="16" max="18" width="9.140625" style="141" hidden="1" customWidth="1"/>
    <col min="19" max="19" width="46.5703125" style="141" hidden="1" customWidth="1"/>
    <col min="20" max="21" width="9.140625" style="141" hidden="1" customWidth="1"/>
    <col min="22" max="22" width="58.85546875" style="141" hidden="1" customWidth="1"/>
    <col min="23" max="26" width="9.140625" style="141" hidden="1" customWidth="1"/>
    <col min="27" max="27" width="14.7109375" style="141" hidden="1" customWidth="1"/>
    <col min="28" max="28" width="9.140625" style="141" hidden="1" customWidth="1"/>
    <col min="29" max="30" width="9.140625" style="141" customWidth="1"/>
    <col min="31" max="16384" width="9.140625" style="141"/>
  </cols>
  <sheetData>
    <row r="1" spans="1:28" ht="35.25" customHeight="1">
      <c r="A1" s="290" t="s">
        <v>792</v>
      </c>
      <c r="B1" s="290"/>
      <c r="C1" s="190" t="str">
        <f>IF('Opći dio'!C3="odaberite -","Molimo odaberite proračunskog korisnika na radnom listu Opći podaci!","")</f>
        <v/>
      </c>
    </row>
    <row r="2" spans="1:28" ht="60">
      <c r="A2" s="202" t="s">
        <v>786</v>
      </c>
      <c r="B2" s="203" t="s">
        <v>46</v>
      </c>
      <c r="C2" s="202" t="s">
        <v>784</v>
      </c>
      <c r="D2" s="203" t="s">
        <v>785</v>
      </c>
      <c r="E2" s="202" t="s">
        <v>793</v>
      </c>
      <c r="F2" s="203" t="s">
        <v>48</v>
      </c>
      <c r="G2" s="192" t="s">
        <v>2141</v>
      </c>
      <c r="H2" s="192" t="s">
        <v>2142</v>
      </c>
      <c r="I2" s="192" t="s">
        <v>2143</v>
      </c>
      <c r="J2" s="204" t="s">
        <v>794</v>
      </c>
      <c r="K2" s="204" t="s">
        <v>795</v>
      </c>
      <c r="L2" s="204" t="s">
        <v>796</v>
      </c>
      <c r="M2" s="204" t="s">
        <v>797</v>
      </c>
      <c r="N2" s="204" t="s">
        <v>798</v>
      </c>
      <c r="P2" s="144" t="s">
        <v>759</v>
      </c>
      <c r="Q2" s="144" t="s">
        <v>760</v>
      </c>
    </row>
    <row r="3" spans="1:28">
      <c r="A3" s="151"/>
      <c r="B3" s="146" t="str">
        <f t="shared" ref="B3" si="0">IFERROR(VLOOKUP(A3,$R$6:$S$23,2,FALSE),"")</f>
        <v/>
      </c>
      <c r="C3" s="151"/>
      <c r="D3" s="146" t="str">
        <f>IFERROR(VLOOKUP(C3,$U$5:$W$129,2,FALSE),"")</f>
        <v/>
      </c>
      <c r="E3" s="186"/>
      <c r="F3" s="146" t="str">
        <f>IFERROR(VLOOKUP(E3,$AA$5:$AB$500,2,FALSE),"")</f>
        <v/>
      </c>
      <c r="G3" s="185"/>
      <c r="H3" s="185"/>
      <c r="I3" s="185"/>
      <c r="J3" s="201"/>
      <c r="K3" s="200"/>
      <c r="L3" s="200"/>
      <c r="M3" s="201"/>
      <c r="N3" s="201"/>
      <c r="P3" s="141" t="str">
        <f>LEFT(C3,3)</f>
        <v/>
      </c>
      <c r="Q3" s="141" t="str">
        <f>LEFT(C3,2)</f>
        <v/>
      </c>
    </row>
    <row r="4" spans="1:28">
      <c r="A4" s="151"/>
      <c r="B4" s="146" t="str">
        <f t="shared" ref="B4:B67" si="1">IFERROR(VLOOKUP(A4,$R$6:$S$23,2,FALSE),"")</f>
        <v/>
      </c>
      <c r="C4" s="151"/>
      <c r="D4" s="146" t="str">
        <f t="shared" ref="D4:D67" si="2">IFERROR(VLOOKUP(C4,$U$5:$W$129,2,FALSE),"")</f>
        <v/>
      </c>
      <c r="E4" s="186"/>
      <c r="F4" s="146" t="str">
        <f t="shared" ref="F4:F67" si="3">IFERROR(VLOOKUP(E4,$AA$5:$AB$500,2,FALSE),"")</f>
        <v/>
      </c>
      <c r="G4" s="185"/>
      <c r="H4" s="185"/>
      <c r="I4" s="185"/>
      <c r="J4" s="201"/>
      <c r="K4" s="200"/>
      <c r="L4" s="200"/>
      <c r="M4" s="201"/>
      <c r="N4" s="201"/>
      <c r="P4" s="141" t="str">
        <f t="shared" ref="P4:P67" si="4">LEFT(C4,3)</f>
        <v/>
      </c>
      <c r="Q4" s="141" t="str">
        <f t="shared" ref="Q4:Q67" si="5">LEFT(C4,2)</f>
        <v/>
      </c>
      <c r="U4" s="147"/>
      <c r="V4" s="147"/>
    </row>
    <row r="5" spans="1:28">
      <c r="A5" s="151"/>
      <c r="B5" s="146" t="str">
        <f t="shared" si="1"/>
        <v/>
      </c>
      <c r="C5" s="151"/>
      <c r="D5" s="146" t="str">
        <f t="shared" si="2"/>
        <v/>
      </c>
      <c r="E5" s="186"/>
      <c r="F5" s="146" t="str">
        <f t="shared" si="3"/>
        <v/>
      </c>
      <c r="G5" s="185"/>
      <c r="H5" s="185"/>
      <c r="I5" s="185"/>
      <c r="J5" s="201"/>
      <c r="K5" s="200"/>
      <c r="L5" s="200"/>
      <c r="M5" s="201"/>
      <c r="N5" s="201"/>
      <c r="P5" s="141" t="str">
        <f t="shared" si="4"/>
        <v/>
      </c>
      <c r="Q5" s="141" t="str">
        <f t="shared" si="5"/>
        <v/>
      </c>
      <c r="R5" s="141" t="s">
        <v>45</v>
      </c>
      <c r="S5" s="141" t="s">
        <v>46</v>
      </c>
      <c r="U5" s="141">
        <v>3111</v>
      </c>
      <c r="V5" s="141" t="s">
        <v>54</v>
      </c>
      <c r="X5" s="141" t="str">
        <f t="shared" ref="X5:X68" si="6">LEFT(U5,2)</f>
        <v>31</v>
      </c>
      <c r="Y5" s="141" t="str">
        <f>LEFT(U5,3)</f>
        <v>311</v>
      </c>
      <c r="AA5" s="141" t="s">
        <v>47</v>
      </c>
      <c r="AB5" s="141" t="s">
        <v>48</v>
      </c>
    </row>
    <row r="6" spans="1:28">
      <c r="A6" s="151"/>
      <c r="B6" s="146" t="str">
        <f t="shared" si="1"/>
        <v/>
      </c>
      <c r="C6" s="151"/>
      <c r="D6" s="146" t="str">
        <f t="shared" si="2"/>
        <v/>
      </c>
      <c r="E6" s="186"/>
      <c r="F6" s="146" t="str">
        <f t="shared" si="3"/>
        <v/>
      </c>
      <c r="G6" s="185"/>
      <c r="H6" s="185"/>
      <c r="I6" s="185"/>
      <c r="J6" s="201"/>
      <c r="K6" s="200"/>
      <c r="L6" s="200"/>
      <c r="M6" s="201"/>
      <c r="N6" s="201"/>
      <c r="P6" s="141" t="str">
        <f t="shared" si="4"/>
        <v/>
      </c>
      <c r="Q6" s="141" t="str">
        <f t="shared" si="5"/>
        <v/>
      </c>
      <c r="R6" s="141">
        <v>11</v>
      </c>
      <c r="S6" s="141" t="s">
        <v>53</v>
      </c>
      <c r="U6" s="141">
        <v>3112</v>
      </c>
      <c r="V6" s="141" t="s">
        <v>153</v>
      </c>
      <c r="X6" s="141" t="str">
        <f t="shared" si="6"/>
        <v>31</v>
      </c>
      <c r="Y6" s="141" t="str">
        <f t="shared" ref="Y6:Y69" si="7">LEFT(U6,3)</f>
        <v>311</v>
      </c>
      <c r="AA6" s="141" t="s">
        <v>827</v>
      </c>
      <c r="AB6" s="141" t="s">
        <v>827</v>
      </c>
    </row>
    <row r="7" spans="1:28">
      <c r="A7" s="151"/>
      <c r="B7" s="146" t="str">
        <f t="shared" si="1"/>
        <v/>
      </c>
      <c r="C7" s="151"/>
      <c r="D7" s="146" t="str">
        <f t="shared" si="2"/>
        <v/>
      </c>
      <c r="E7" s="186"/>
      <c r="F7" s="146" t="str">
        <f t="shared" si="3"/>
        <v/>
      </c>
      <c r="G7" s="185"/>
      <c r="H7" s="185"/>
      <c r="I7" s="185"/>
      <c r="J7" s="201"/>
      <c r="K7" s="200"/>
      <c r="L7" s="200"/>
      <c r="M7" s="201"/>
      <c r="N7" s="201"/>
      <c r="P7" s="141" t="str">
        <f t="shared" si="4"/>
        <v/>
      </c>
      <c r="Q7" s="141" t="str">
        <f t="shared" si="5"/>
        <v/>
      </c>
      <c r="R7" s="141">
        <v>12</v>
      </c>
      <c r="S7" s="141" t="s">
        <v>263</v>
      </c>
      <c r="U7" s="141">
        <v>3113</v>
      </c>
      <c r="V7" s="141" t="s">
        <v>132</v>
      </c>
      <c r="X7" s="141" t="str">
        <f t="shared" si="6"/>
        <v>31</v>
      </c>
      <c r="Y7" s="141" t="str">
        <f t="shared" si="7"/>
        <v>311</v>
      </c>
      <c r="AA7" s="141" t="s">
        <v>1447</v>
      </c>
      <c r="AB7" s="141" t="s">
        <v>1448</v>
      </c>
    </row>
    <row r="8" spans="1:28">
      <c r="A8" s="151"/>
      <c r="B8" s="146" t="str">
        <f t="shared" si="1"/>
        <v/>
      </c>
      <c r="C8" s="151"/>
      <c r="D8" s="146" t="str">
        <f t="shared" si="2"/>
        <v/>
      </c>
      <c r="E8" s="186"/>
      <c r="F8" s="146" t="str">
        <f t="shared" si="3"/>
        <v/>
      </c>
      <c r="G8" s="185"/>
      <c r="H8" s="185"/>
      <c r="I8" s="185"/>
      <c r="J8" s="201"/>
      <c r="K8" s="200"/>
      <c r="L8" s="200"/>
      <c r="M8" s="201"/>
      <c r="N8" s="201"/>
      <c r="P8" s="141" t="str">
        <f t="shared" si="4"/>
        <v/>
      </c>
      <c r="Q8" s="141" t="str">
        <f t="shared" si="5"/>
        <v/>
      </c>
      <c r="R8" s="141">
        <v>31</v>
      </c>
      <c r="S8" s="141" t="s">
        <v>98</v>
      </c>
      <c r="U8" s="141">
        <v>3114</v>
      </c>
      <c r="V8" s="141" t="s">
        <v>154</v>
      </c>
      <c r="X8" s="141" t="str">
        <f t="shared" si="6"/>
        <v>31</v>
      </c>
      <c r="Y8" s="141" t="str">
        <f t="shared" si="7"/>
        <v>311</v>
      </c>
      <c r="AA8" s="141" t="s">
        <v>1449</v>
      </c>
      <c r="AB8" s="141" t="s">
        <v>1450</v>
      </c>
    </row>
    <row r="9" spans="1:28">
      <c r="A9" s="151"/>
      <c r="B9" s="146" t="str">
        <f t="shared" si="1"/>
        <v/>
      </c>
      <c r="C9" s="151"/>
      <c r="D9" s="146" t="str">
        <f t="shared" si="2"/>
        <v/>
      </c>
      <c r="E9" s="186"/>
      <c r="F9" s="146" t="str">
        <f t="shared" si="3"/>
        <v/>
      </c>
      <c r="G9" s="185"/>
      <c r="H9" s="185"/>
      <c r="I9" s="185"/>
      <c r="J9" s="201"/>
      <c r="K9" s="200"/>
      <c r="L9" s="200"/>
      <c r="M9" s="201"/>
      <c r="N9" s="201"/>
      <c r="P9" s="141" t="str">
        <f t="shared" si="4"/>
        <v/>
      </c>
      <c r="Q9" s="141" t="str">
        <f t="shared" si="5"/>
        <v/>
      </c>
      <c r="R9" s="141">
        <v>41</v>
      </c>
      <c r="S9" s="141" t="s">
        <v>1537</v>
      </c>
      <c r="U9" s="141">
        <v>3121</v>
      </c>
      <c r="V9" s="141" t="s">
        <v>57</v>
      </c>
      <c r="X9" s="141" t="str">
        <f t="shared" si="6"/>
        <v>31</v>
      </c>
      <c r="Y9" s="141" t="str">
        <f t="shared" si="7"/>
        <v>312</v>
      </c>
      <c r="AA9" s="141" t="s">
        <v>1451</v>
      </c>
      <c r="AB9" s="141" t="s">
        <v>1452</v>
      </c>
    </row>
    <row r="10" spans="1:28">
      <c r="A10" s="151"/>
      <c r="B10" s="146" t="str">
        <f t="shared" si="1"/>
        <v/>
      </c>
      <c r="C10" s="151"/>
      <c r="D10" s="146" t="str">
        <f t="shared" si="2"/>
        <v/>
      </c>
      <c r="E10" s="186"/>
      <c r="F10" s="146" t="str">
        <f t="shared" si="3"/>
        <v/>
      </c>
      <c r="G10" s="185"/>
      <c r="H10" s="185"/>
      <c r="I10" s="185"/>
      <c r="J10" s="201"/>
      <c r="K10" s="200"/>
      <c r="L10" s="200"/>
      <c r="M10" s="201"/>
      <c r="N10" s="201"/>
      <c r="P10" s="141" t="str">
        <f t="shared" si="4"/>
        <v/>
      </c>
      <c r="Q10" s="141" t="str">
        <f t="shared" si="5"/>
        <v/>
      </c>
      <c r="R10" s="141">
        <v>43</v>
      </c>
      <c r="S10" s="141" t="s">
        <v>103</v>
      </c>
      <c r="U10" s="195">
        <v>3132</v>
      </c>
      <c r="V10" s="195" t="s">
        <v>58</v>
      </c>
      <c r="W10" s="195"/>
      <c r="X10" s="195" t="str">
        <f t="shared" si="6"/>
        <v>31</v>
      </c>
      <c r="Y10" s="195" t="str">
        <f t="shared" si="7"/>
        <v>313</v>
      </c>
      <c r="AA10" s="141" t="s">
        <v>1453</v>
      </c>
      <c r="AB10" s="141" t="s">
        <v>1454</v>
      </c>
    </row>
    <row r="11" spans="1:28">
      <c r="A11" s="151"/>
      <c r="B11" s="146" t="str">
        <f t="shared" si="1"/>
        <v/>
      </c>
      <c r="C11" s="151"/>
      <c r="D11" s="146" t="str">
        <f t="shared" si="2"/>
        <v/>
      </c>
      <c r="E11" s="186"/>
      <c r="F11" s="146" t="str">
        <f t="shared" si="3"/>
        <v/>
      </c>
      <c r="G11" s="185"/>
      <c r="H11" s="185"/>
      <c r="I11" s="185"/>
      <c r="J11" s="201"/>
      <c r="K11" s="200"/>
      <c r="L11" s="200"/>
      <c r="M11" s="201"/>
      <c r="N11" s="201"/>
      <c r="P11" s="141" t="str">
        <f t="shared" si="4"/>
        <v/>
      </c>
      <c r="Q11" s="141" t="str">
        <f t="shared" si="5"/>
        <v/>
      </c>
      <c r="R11" s="141">
        <v>51</v>
      </c>
      <c r="S11" s="141" t="s">
        <v>93</v>
      </c>
      <c r="U11" s="141">
        <v>3211</v>
      </c>
      <c r="V11" s="141" t="s">
        <v>85</v>
      </c>
      <c r="X11" s="141" t="str">
        <f t="shared" si="6"/>
        <v>32</v>
      </c>
      <c r="Y11" s="141" t="str">
        <f t="shared" si="7"/>
        <v>321</v>
      </c>
      <c r="AA11" s="141" t="s">
        <v>1455</v>
      </c>
      <c r="AB11" s="141" t="s">
        <v>1456</v>
      </c>
    </row>
    <row r="12" spans="1:28">
      <c r="A12" s="151"/>
      <c r="B12" s="146" t="str">
        <f t="shared" si="1"/>
        <v/>
      </c>
      <c r="C12" s="151"/>
      <c r="D12" s="146" t="str">
        <f t="shared" si="2"/>
        <v/>
      </c>
      <c r="E12" s="186"/>
      <c r="F12" s="146" t="str">
        <f t="shared" si="3"/>
        <v/>
      </c>
      <c r="G12" s="185"/>
      <c r="H12" s="185"/>
      <c r="I12" s="185"/>
      <c r="J12" s="201"/>
      <c r="K12" s="200"/>
      <c r="L12" s="200"/>
      <c r="M12" s="201"/>
      <c r="N12" s="201"/>
      <c r="P12" s="141" t="str">
        <f t="shared" si="4"/>
        <v/>
      </c>
      <c r="Q12" s="141" t="str">
        <f t="shared" si="5"/>
        <v/>
      </c>
      <c r="R12" s="141">
        <v>52</v>
      </c>
      <c r="S12" s="141" t="s">
        <v>116</v>
      </c>
      <c r="U12" s="141">
        <v>3212</v>
      </c>
      <c r="V12" s="141" t="s">
        <v>59</v>
      </c>
      <c r="X12" s="141" t="str">
        <f t="shared" si="6"/>
        <v>32</v>
      </c>
      <c r="Y12" s="141" t="str">
        <f t="shared" si="7"/>
        <v>321</v>
      </c>
      <c r="AA12" s="141" t="s">
        <v>1457</v>
      </c>
      <c r="AB12" s="141" t="s">
        <v>1458</v>
      </c>
    </row>
    <row r="13" spans="1:28">
      <c r="A13" s="151"/>
      <c r="B13" s="146" t="str">
        <f t="shared" si="1"/>
        <v/>
      </c>
      <c r="C13" s="151"/>
      <c r="D13" s="146" t="str">
        <f t="shared" si="2"/>
        <v/>
      </c>
      <c r="E13" s="186"/>
      <c r="F13" s="146" t="str">
        <f t="shared" si="3"/>
        <v/>
      </c>
      <c r="G13" s="185"/>
      <c r="H13" s="185"/>
      <c r="I13" s="185"/>
      <c r="J13" s="201"/>
      <c r="K13" s="200"/>
      <c r="L13" s="200"/>
      <c r="M13" s="201"/>
      <c r="N13" s="201"/>
      <c r="P13" s="141" t="str">
        <f t="shared" si="4"/>
        <v/>
      </c>
      <c r="Q13" s="141" t="str">
        <f t="shared" si="5"/>
        <v/>
      </c>
      <c r="R13" s="141">
        <v>552</v>
      </c>
      <c r="S13" s="141" t="s">
        <v>1538</v>
      </c>
      <c r="U13" s="141">
        <v>3213</v>
      </c>
      <c r="V13" s="141" t="s">
        <v>104</v>
      </c>
      <c r="X13" s="141" t="str">
        <f t="shared" si="6"/>
        <v>32</v>
      </c>
      <c r="Y13" s="141" t="str">
        <f t="shared" si="7"/>
        <v>321</v>
      </c>
      <c r="AA13" s="141" t="s">
        <v>1459</v>
      </c>
      <c r="AB13" s="141" t="s">
        <v>1115</v>
      </c>
    </row>
    <row r="14" spans="1:28">
      <c r="A14" s="151"/>
      <c r="B14" s="146" t="str">
        <f t="shared" si="1"/>
        <v/>
      </c>
      <c r="C14" s="151"/>
      <c r="D14" s="146" t="str">
        <f t="shared" si="2"/>
        <v/>
      </c>
      <c r="E14" s="186"/>
      <c r="F14" s="146" t="str">
        <f t="shared" si="3"/>
        <v/>
      </c>
      <c r="G14" s="185"/>
      <c r="H14" s="185"/>
      <c r="I14" s="185"/>
      <c r="J14" s="201"/>
      <c r="K14" s="200"/>
      <c r="L14" s="200"/>
      <c r="M14" s="201"/>
      <c r="N14" s="201"/>
      <c r="P14" s="141" t="str">
        <f t="shared" si="4"/>
        <v/>
      </c>
      <c r="Q14" s="141" t="str">
        <f t="shared" si="5"/>
        <v/>
      </c>
      <c r="R14" s="141">
        <v>559</v>
      </c>
      <c r="S14" s="141" t="s">
        <v>1539</v>
      </c>
      <c r="U14" s="141">
        <v>3214</v>
      </c>
      <c r="V14" s="141" t="s">
        <v>133</v>
      </c>
      <c r="X14" s="141" t="str">
        <f t="shared" si="6"/>
        <v>32</v>
      </c>
      <c r="Y14" s="141" t="str">
        <f t="shared" si="7"/>
        <v>321</v>
      </c>
      <c r="AA14" s="141" t="s">
        <v>1460</v>
      </c>
      <c r="AB14" s="141" t="s">
        <v>1117</v>
      </c>
    </row>
    <row r="15" spans="1:28">
      <c r="A15" s="151"/>
      <c r="B15" s="146" t="str">
        <f t="shared" si="1"/>
        <v/>
      </c>
      <c r="C15" s="151"/>
      <c r="D15" s="146" t="str">
        <f t="shared" si="2"/>
        <v/>
      </c>
      <c r="E15" s="186"/>
      <c r="F15" s="146" t="str">
        <f t="shared" si="3"/>
        <v/>
      </c>
      <c r="G15" s="185"/>
      <c r="H15" s="185"/>
      <c r="I15" s="185"/>
      <c r="J15" s="201"/>
      <c r="K15" s="200"/>
      <c r="L15" s="200"/>
      <c r="M15" s="201"/>
      <c r="N15" s="201"/>
      <c r="P15" s="141" t="str">
        <f t="shared" si="4"/>
        <v/>
      </c>
      <c r="Q15" s="141" t="str">
        <f t="shared" si="5"/>
        <v/>
      </c>
      <c r="R15" s="141">
        <v>561</v>
      </c>
      <c r="S15" s="141" t="s">
        <v>118</v>
      </c>
      <c r="U15" s="141">
        <v>3221</v>
      </c>
      <c r="V15" s="141" t="s">
        <v>86</v>
      </c>
      <c r="X15" s="141" t="str">
        <f t="shared" si="6"/>
        <v>32</v>
      </c>
      <c r="Y15" s="141" t="str">
        <f t="shared" si="7"/>
        <v>322</v>
      </c>
      <c r="AA15" s="141" t="s">
        <v>1461</v>
      </c>
      <c r="AB15" s="141" t="s">
        <v>1119</v>
      </c>
    </row>
    <row r="16" spans="1:28">
      <c r="A16" s="151"/>
      <c r="B16" s="146" t="str">
        <f t="shared" si="1"/>
        <v/>
      </c>
      <c r="C16" s="151"/>
      <c r="D16" s="146" t="str">
        <f t="shared" si="2"/>
        <v/>
      </c>
      <c r="E16" s="186"/>
      <c r="F16" s="146" t="str">
        <f t="shared" si="3"/>
        <v/>
      </c>
      <c r="G16" s="185"/>
      <c r="H16" s="185"/>
      <c r="I16" s="185"/>
      <c r="J16" s="201"/>
      <c r="K16" s="200"/>
      <c r="L16" s="200"/>
      <c r="M16" s="201"/>
      <c r="N16" s="201"/>
      <c r="P16" s="141" t="str">
        <f t="shared" si="4"/>
        <v/>
      </c>
      <c r="Q16" s="141" t="str">
        <f t="shared" si="5"/>
        <v/>
      </c>
      <c r="R16" s="141">
        <v>563</v>
      </c>
      <c r="S16" s="141" t="s">
        <v>120</v>
      </c>
      <c r="U16" s="141">
        <v>3222</v>
      </c>
      <c r="V16" s="141" t="s">
        <v>107</v>
      </c>
      <c r="X16" s="141" t="str">
        <f t="shared" si="6"/>
        <v>32</v>
      </c>
      <c r="Y16" s="141" t="str">
        <f t="shared" si="7"/>
        <v>322</v>
      </c>
      <c r="AA16" s="141" t="s">
        <v>1462</v>
      </c>
      <c r="AB16" s="141" t="s">
        <v>1463</v>
      </c>
    </row>
    <row r="17" spans="1:28">
      <c r="A17" s="151"/>
      <c r="B17" s="146" t="str">
        <f t="shared" si="1"/>
        <v/>
      </c>
      <c r="C17" s="151"/>
      <c r="D17" s="146" t="str">
        <f t="shared" si="2"/>
        <v/>
      </c>
      <c r="E17" s="186"/>
      <c r="F17" s="146" t="str">
        <f t="shared" si="3"/>
        <v/>
      </c>
      <c r="G17" s="185"/>
      <c r="H17" s="185"/>
      <c r="I17" s="185"/>
      <c r="J17" s="201"/>
      <c r="K17" s="200"/>
      <c r="L17" s="200"/>
      <c r="M17" s="201"/>
      <c r="N17" s="201"/>
      <c r="P17" s="141" t="str">
        <f t="shared" si="4"/>
        <v/>
      </c>
      <c r="Q17" s="141" t="str">
        <f t="shared" si="5"/>
        <v/>
      </c>
      <c r="R17" s="141">
        <v>573</v>
      </c>
      <c r="S17" s="141" t="s">
        <v>1549</v>
      </c>
      <c r="U17" s="141">
        <v>3223</v>
      </c>
      <c r="V17" s="141" t="s">
        <v>95</v>
      </c>
      <c r="X17" s="141" t="str">
        <f t="shared" si="6"/>
        <v>32</v>
      </c>
      <c r="Y17" s="141" t="str">
        <f t="shared" si="7"/>
        <v>322</v>
      </c>
      <c r="AA17" s="141" t="s">
        <v>1464</v>
      </c>
      <c r="AB17" s="141" t="s">
        <v>1465</v>
      </c>
    </row>
    <row r="18" spans="1:28">
      <c r="A18" s="151"/>
      <c r="B18" s="146" t="str">
        <f t="shared" si="1"/>
        <v/>
      </c>
      <c r="C18" s="151"/>
      <c r="D18" s="146" t="str">
        <f t="shared" si="2"/>
        <v/>
      </c>
      <c r="E18" s="186"/>
      <c r="F18" s="146" t="str">
        <f t="shared" si="3"/>
        <v/>
      </c>
      <c r="G18" s="185"/>
      <c r="H18" s="185"/>
      <c r="I18" s="185"/>
      <c r="J18" s="201"/>
      <c r="K18" s="200"/>
      <c r="L18" s="200"/>
      <c r="M18" s="201"/>
      <c r="N18" s="201"/>
      <c r="P18" s="141" t="str">
        <f t="shared" si="4"/>
        <v/>
      </c>
      <c r="Q18" s="141" t="str">
        <f t="shared" si="5"/>
        <v/>
      </c>
      <c r="R18" s="141">
        <v>575</v>
      </c>
      <c r="S18" s="141" t="s">
        <v>1551</v>
      </c>
      <c r="U18" s="141">
        <v>3224</v>
      </c>
      <c r="V18" s="141" t="s">
        <v>100</v>
      </c>
      <c r="X18" s="141" t="str">
        <f t="shared" si="6"/>
        <v>32</v>
      </c>
      <c r="Y18" s="141" t="str">
        <f t="shared" si="7"/>
        <v>322</v>
      </c>
      <c r="AA18" s="141" t="s">
        <v>1466</v>
      </c>
      <c r="AB18" s="141" t="s">
        <v>1467</v>
      </c>
    </row>
    <row r="19" spans="1:28">
      <c r="A19" s="151"/>
      <c r="B19" s="146" t="str">
        <f t="shared" si="1"/>
        <v/>
      </c>
      <c r="C19" s="151"/>
      <c r="D19" s="146" t="str">
        <f t="shared" si="2"/>
        <v/>
      </c>
      <c r="E19" s="186"/>
      <c r="F19" s="146" t="str">
        <f t="shared" si="3"/>
        <v/>
      </c>
      <c r="G19" s="185"/>
      <c r="H19" s="185"/>
      <c r="I19" s="185"/>
      <c r="J19" s="201"/>
      <c r="K19" s="200"/>
      <c r="L19" s="200"/>
      <c r="M19" s="201"/>
      <c r="N19" s="201"/>
      <c r="P19" s="141" t="str">
        <f t="shared" si="4"/>
        <v/>
      </c>
      <c r="Q19" s="141" t="str">
        <f t="shared" si="5"/>
        <v/>
      </c>
      <c r="R19" s="141">
        <v>576</v>
      </c>
      <c r="S19" s="141" t="s">
        <v>2126</v>
      </c>
      <c r="U19" s="141">
        <v>3225</v>
      </c>
      <c r="V19" s="141" t="s">
        <v>108</v>
      </c>
      <c r="X19" s="141" t="str">
        <f t="shared" si="6"/>
        <v>32</v>
      </c>
      <c r="Y19" s="141" t="str">
        <f t="shared" si="7"/>
        <v>322</v>
      </c>
      <c r="AA19" s="141" t="s">
        <v>1468</v>
      </c>
      <c r="AB19" s="141" t="s">
        <v>1469</v>
      </c>
    </row>
    <row r="20" spans="1:28">
      <c r="A20" s="151"/>
      <c r="B20" s="146" t="str">
        <f t="shared" si="1"/>
        <v/>
      </c>
      <c r="C20" s="151"/>
      <c r="D20" s="146" t="str">
        <f t="shared" si="2"/>
        <v/>
      </c>
      <c r="E20" s="186"/>
      <c r="F20" s="146" t="str">
        <f t="shared" si="3"/>
        <v/>
      </c>
      <c r="G20" s="185"/>
      <c r="H20" s="185"/>
      <c r="I20" s="185"/>
      <c r="J20" s="201"/>
      <c r="K20" s="200"/>
      <c r="L20" s="200"/>
      <c r="M20" s="201"/>
      <c r="N20" s="201"/>
      <c r="P20" s="141" t="str">
        <f t="shared" si="4"/>
        <v/>
      </c>
      <c r="Q20" s="141" t="str">
        <f t="shared" si="5"/>
        <v/>
      </c>
      <c r="R20" s="141">
        <v>61</v>
      </c>
      <c r="S20" s="141" t="s">
        <v>122</v>
      </c>
      <c r="U20" s="141">
        <v>3226</v>
      </c>
      <c r="V20" s="141" t="s">
        <v>182</v>
      </c>
      <c r="X20" s="141" t="str">
        <f t="shared" si="6"/>
        <v>32</v>
      </c>
      <c r="Y20" s="141" t="str">
        <f t="shared" si="7"/>
        <v>322</v>
      </c>
      <c r="AA20" s="141" t="s">
        <v>1470</v>
      </c>
      <c r="AB20" s="141" t="s">
        <v>1471</v>
      </c>
    </row>
    <row r="21" spans="1:28">
      <c r="A21" s="151"/>
      <c r="B21" s="146" t="str">
        <f t="shared" si="1"/>
        <v/>
      </c>
      <c r="C21" s="151"/>
      <c r="D21" s="146" t="str">
        <f t="shared" si="2"/>
        <v/>
      </c>
      <c r="E21" s="186"/>
      <c r="F21" s="146" t="str">
        <f t="shared" si="3"/>
        <v/>
      </c>
      <c r="G21" s="185"/>
      <c r="H21" s="185"/>
      <c r="I21" s="185"/>
      <c r="J21" s="201"/>
      <c r="K21" s="200"/>
      <c r="L21" s="200"/>
      <c r="M21" s="201"/>
      <c r="N21" s="201"/>
      <c r="P21" s="141" t="str">
        <f t="shared" si="4"/>
        <v/>
      </c>
      <c r="Q21" s="141" t="str">
        <f t="shared" si="5"/>
        <v/>
      </c>
      <c r="R21" s="141">
        <v>71</v>
      </c>
      <c r="S21" s="141" t="s">
        <v>180</v>
      </c>
      <c r="U21" s="141">
        <v>3227</v>
      </c>
      <c r="V21" s="141" t="s">
        <v>125</v>
      </c>
      <c r="X21" s="141" t="str">
        <f t="shared" si="6"/>
        <v>32</v>
      </c>
      <c r="Y21" s="141" t="str">
        <f t="shared" si="7"/>
        <v>322</v>
      </c>
      <c r="AA21" s="141" t="s">
        <v>1472</v>
      </c>
      <c r="AB21" s="141" t="s">
        <v>1473</v>
      </c>
    </row>
    <row r="22" spans="1:28">
      <c r="A22" s="151"/>
      <c r="B22" s="146" t="str">
        <f t="shared" si="1"/>
        <v/>
      </c>
      <c r="C22" s="151"/>
      <c r="D22" s="146" t="str">
        <f t="shared" si="2"/>
        <v/>
      </c>
      <c r="E22" s="186"/>
      <c r="F22" s="146" t="str">
        <f t="shared" si="3"/>
        <v/>
      </c>
      <c r="G22" s="185"/>
      <c r="H22" s="185"/>
      <c r="I22" s="185"/>
      <c r="J22" s="201"/>
      <c r="K22" s="200"/>
      <c r="L22" s="200"/>
      <c r="M22" s="201"/>
      <c r="N22" s="201"/>
      <c r="P22" s="141" t="str">
        <f t="shared" si="4"/>
        <v/>
      </c>
      <c r="Q22" s="141" t="str">
        <f t="shared" si="5"/>
        <v/>
      </c>
      <c r="R22" s="141">
        <v>81</v>
      </c>
      <c r="S22" s="141" t="s">
        <v>63</v>
      </c>
      <c r="U22" s="141">
        <v>3231</v>
      </c>
      <c r="V22" s="141" t="s">
        <v>109</v>
      </c>
      <c r="X22" s="141" t="str">
        <f t="shared" si="6"/>
        <v>32</v>
      </c>
      <c r="Y22" s="141" t="str">
        <f t="shared" si="7"/>
        <v>323</v>
      </c>
      <c r="AA22" s="141" t="s">
        <v>1474</v>
      </c>
      <c r="AB22" s="141" t="s">
        <v>1475</v>
      </c>
    </row>
    <row r="23" spans="1:28">
      <c r="A23" s="151"/>
      <c r="B23" s="146" t="str">
        <f t="shared" si="1"/>
        <v/>
      </c>
      <c r="C23" s="151"/>
      <c r="D23" s="146" t="str">
        <f t="shared" si="2"/>
        <v/>
      </c>
      <c r="E23" s="186"/>
      <c r="F23" s="146" t="str">
        <f t="shared" si="3"/>
        <v/>
      </c>
      <c r="G23" s="185"/>
      <c r="H23" s="185"/>
      <c r="I23" s="185"/>
      <c r="J23" s="201"/>
      <c r="K23" s="200"/>
      <c r="L23" s="200"/>
      <c r="M23" s="201"/>
      <c r="N23" s="201"/>
      <c r="P23" s="141" t="str">
        <f t="shared" si="4"/>
        <v/>
      </c>
      <c r="Q23" s="141" t="str">
        <f t="shared" si="5"/>
        <v/>
      </c>
      <c r="R23" s="141">
        <v>83</v>
      </c>
      <c r="S23" s="141" t="s">
        <v>1540</v>
      </c>
      <c r="U23" s="141">
        <v>3232</v>
      </c>
      <c r="V23" s="141" t="s">
        <v>96</v>
      </c>
      <c r="X23" s="141" t="str">
        <f t="shared" si="6"/>
        <v>32</v>
      </c>
      <c r="Y23" s="141" t="str">
        <f t="shared" si="7"/>
        <v>323</v>
      </c>
      <c r="AA23" s="141" t="s">
        <v>1476</v>
      </c>
      <c r="AB23" s="141" t="s">
        <v>1477</v>
      </c>
    </row>
    <row r="24" spans="1:28">
      <c r="A24" s="151"/>
      <c r="B24" s="146" t="str">
        <f t="shared" si="1"/>
        <v/>
      </c>
      <c r="C24" s="151"/>
      <c r="D24" s="146" t="str">
        <f t="shared" si="2"/>
        <v/>
      </c>
      <c r="E24" s="186"/>
      <c r="F24" s="146" t="str">
        <f t="shared" si="3"/>
        <v/>
      </c>
      <c r="G24" s="185"/>
      <c r="H24" s="185"/>
      <c r="I24" s="185"/>
      <c r="J24" s="201"/>
      <c r="K24" s="200"/>
      <c r="L24" s="200"/>
      <c r="M24" s="201"/>
      <c r="N24" s="201"/>
      <c r="P24" s="141" t="str">
        <f t="shared" si="4"/>
        <v/>
      </c>
      <c r="Q24" s="141" t="str">
        <f t="shared" si="5"/>
        <v/>
      </c>
      <c r="U24" s="141">
        <v>3233</v>
      </c>
      <c r="V24" s="141" t="s">
        <v>84</v>
      </c>
      <c r="X24" s="141" t="str">
        <f t="shared" si="6"/>
        <v>32</v>
      </c>
      <c r="Y24" s="141" t="str">
        <f t="shared" si="7"/>
        <v>323</v>
      </c>
      <c r="AA24" s="141" t="s">
        <v>1478</v>
      </c>
      <c r="AB24" s="141" t="s">
        <v>1479</v>
      </c>
    </row>
    <row r="25" spans="1:28">
      <c r="A25" s="151"/>
      <c r="B25" s="146" t="str">
        <f t="shared" si="1"/>
        <v/>
      </c>
      <c r="C25" s="151"/>
      <c r="D25" s="146" t="str">
        <f t="shared" si="2"/>
        <v/>
      </c>
      <c r="E25" s="186"/>
      <c r="F25" s="146" t="str">
        <f t="shared" si="3"/>
        <v/>
      </c>
      <c r="G25" s="185"/>
      <c r="H25" s="185"/>
      <c r="I25" s="185"/>
      <c r="J25" s="201"/>
      <c r="K25" s="200"/>
      <c r="L25" s="200"/>
      <c r="M25" s="201"/>
      <c r="N25" s="201"/>
      <c r="P25" s="141" t="str">
        <f t="shared" si="4"/>
        <v/>
      </c>
      <c r="Q25" s="141" t="str">
        <f t="shared" si="5"/>
        <v/>
      </c>
      <c r="U25" s="141">
        <v>3234</v>
      </c>
      <c r="V25" s="141" t="s">
        <v>97</v>
      </c>
      <c r="X25" s="141" t="str">
        <f t="shared" si="6"/>
        <v>32</v>
      </c>
      <c r="Y25" s="141" t="str">
        <f t="shared" si="7"/>
        <v>323</v>
      </c>
      <c r="AA25" s="141" t="s">
        <v>1480</v>
      </c>
      <c r="AB25" s="141" t="s">
        <v>1481</v>
      </c>
    </row>
    <row r="26" spans="1:28">
      <c r="A26" s="151"/>
      <c r="B26" s="146" t="str">
        <f t="shared" si="1"/>
        <v/>
      </c>
      <c r="C26" s="151"/>
      <c r="D26" s="146" t="str">
        <f t="shared" si="2"/>
        <v/>
      </c>
      <c r="E26" s="186"/>
      <c r="F26" s="146" t="str">
        <f t="shared" si="3"/>
        <v/>
      </c>
      <c r="G26" s="185"/>
      <c r="H26" s="185"/>
      <c r="I26" s="185"/>
      <c r="J26" s="201"/>
      <c r="K26" s="200"/>
      <c r="L26" s="200"/>
      <c r="M26" s="201"/>
      <c r="N26" s="201"/>
      <c r="P26" s="141" t="str">
        <f t="shared" si="4"/>
        <v/>
      </c>
      <c r="Q26" s="141" t="str">
        <f t="shared" si="5"/>
        <v/>
      </c>
      <c r="U26" s="141">
        <v>3235</v>
      </c>
      <c r="V26" s="141" t="s">
        <v>117</v>
      </c>
      <c r="X26" s="141" t="str">
        <f t="shared" si="6"/>
        <v>32</v>
      </c>
      <c r="Y26" s="141" t="str">
        <f t="shared" si="7"/>
        <v>323</v>
      </c>
      <c r="AA26" s="141" t="s">
        <v>1482</v>
      </c>
      <c r="AB26" s="141" t="s">
        <v>1483</v>
      </c>
    </row>
    <row r="27" spans="1:28">
      <c r="A27" s="151"/>
      <c r="B27" s="146" t="str">
        <f t="shared" si="1"/>
        <v/>
      </c>
      <c r="C27" s="151"/>
      <c r="D27" s="146" t="str">
        <f t="shared" si="2"/>
        <v/>
      </c>
      <c r="E27" s="186"/>
      <c r="F27" s="146" t="str">
        <f t="shared" si="3"/>
        <v/>
      </c>
      <c r="G27" s="185"/>
      <c r="H27" s="185"/>
      <c r="I27" s="185"/>
      <c r="J27" s="201"/>
      <c r="K27" s="200"/>
      <c r="L27" s="200"/>
      <c r="M27" s="201"/>
      <c r="N27" s="201"/>
      <c r="P27" s="141" t="str">
        <f t="shared" si="4"/>
        <v/>
      </c>
      <c r="Q27" s="141" t="str">
        <f t="shared" si="5"/>
        <v/>
      </c>
      <c r="U27" s="141">
        <v>3236</v>
      </c>
      <c r="V27" s="141" t="s">
        <v>60</v>
      </c>
      <c r="X27" s="141" t="str">
        <f t="shared" si="6"/>
        <v>32</v>
      </c>
      <c r="Y27" s="141" t="str">
        <f t="shared" si="7"/>
        <v>323</v>
      </c>
      <c r="AA27" s="141" t="s">
        <v>1484</v>
      </c>
      <c r="AB27" s="141" t="s">
        <v>1485</v>
      </c>
    </row>
    <row r="28" spans="1:28">
      <c r="A28" s="151"/>
      <c r="B28" s="146" t="str">
        <f t="shared" si="1"/>
        <v/>
      </c>
      <c r="C28" s="151"/>
      <c r="D28" s="146" t="str">
        <f t="shared" si="2"/>
        <v/>
      </c>
      <c r="E28" s="186"/>
      <c r="F28" s="146" t="str">
        <f t="shared" si="3"/>
        <v/>
      </c>
      <c r="G28" s="185"/>
      <c r="H28" s="185"/>
      <c r="I28" s="185"/>
      <c r="J28" s="201"/>
      <c r="K28" s="200"/>
      <c r="L28" s="200"/>
      <c r="M28" s="201"/>
      <c r="N28" s="201"/>
      <c r="P28" s="141" t="str">
        <f t="shared" si="4"/>
        <v/>
      </c>
      <c r="Q28" s="141" t="str">
        <f t="shared" si="5"/>
        <v/>
      </c>
      <c r="U28" s="141">
        <v>3237</v>
      </c>
      <c r="V28" s="141" t="s">
        <v>73</v>
      </c>
      <c r="X28" s="141" t="str">
        <f t="shared" si="6"/>
        <v>32</v>
      </c>
      <c r="Y28" s="141" t="str">
        <f t="shared" si="7"/>
        <v>323</v>
      </c>
      <c r="AA28" s="141" t="s">
        <v>1486</v>
      </c>
      <c r="AB28" s="141" t="s">
        <v>1487</v>
      </c>
    </row>
    <row r="29" spans="1:28">
      <c r="A29" s="151"/>
      <c r="B29" s="146" t="str">
        <f t="shared" si="1"/>
        <v/>
      </c>
      <c r="C29" s="151"/>
      <c r="D29" s="146" t="str">
        <f t="shared" si="2"/>
        <v/>
      </c>
      <c r="E29" s="186"/>
      <c r="F29" s="146" t="str">
        <f t="shared" si="3"/>
        <v/>
      </c>
      <c r="G29" s="185"/>
      <c r="H29" s="185"/>
      <c r="I29" s="185"/>
      <c r="J29" s="201"/>
      <c r="K29" s="200"/>
      <c r="L29" s="200"/>
      <c r="M29" s="201"/>
      <c r="N29" s="201"/>
      <c r="P29" s="141" t="str">
        <f t="shared" si="4"/>
        <v/>
      </c>
      <c r="Q29" s="141" t="str">
        <f t="shared" si="5"/>
        <v/>
      </c>
      <c r="U29" s="141">
        <v>3238</v>
      </c>
      <c r="V29" s="141" t="s">
        <v>110</v>
      </c>
      <c r="X29" s="141" t="str">
        <f t="shared" si="6"/>
        <v>32</v>
      </c>
      <c r="Y29" s="141" t="str">
        <f t="shared" si="7"/>
        <v>323</v>
      </c>
      <c r="AA29" s="141" t="s">
        <v>1488</v>
      </c>
      <c r="AB29" s="141" t="s">
        <v>1489</v>
      </c>
    </row>
    <row r="30" spans="1:28">
      <c r="A30" s="151"/>
      <c r="B30" s="146" t="str">
        <f t="shared" si="1"/>
        <v/>
      </c>
      <c r="C30" s="151"/>
      <c r="D30" s="146" t="str">
        <f t="shared" si="2"/>
        <v/>
      </c>
      <c r="E30" s="186"/>
      <c r="F30" s="146" t="str">
        <f t="shared" si="3"/>
        <v/>
      </c>
      <c r="G30" s="185"/>
      <c r="H30" s="185"/>
      <c r="I30" s="185"/>
      <c r="J30" s="201"/>
      <c r="K30" s="200"/>
      <c r="L30" s="200"/>
      <c r="M30" s="201"/>
      <c r="N30" s="201"/>
      <c r="P30" s="141" t="str">
        <f t="shared" si="4"/>
        <v/>
      </c>
      <c r="Q30" s="141" t="str">
        <f t="shared" si="5"/>
        <v/>
      </c>
      <c r="U30" s="141">
        <v>3239</v>
      </c>
      <c r="V30" s="141" t="s">
        <v>90</v>
      </c>
      <c r="X30" s="141" t="str">
        <f t="shared" si="6"/>
        <v>32</v>
      </c>
      <c r="Y30" s="141" t="str">
        <f t="shared" si="7"/>
        <v>323</v>
      </c>
      <c r="AA30" s="141" t="s">
        <v>1490</v>
      </c>
      <c r="AB30" s="141" t="s">
        <v>1491</v>
      </c>
    </row>
    <row r="31" spans="1:28">
      <c r="A31" s="151"/>
      <c r="B31" s="146" t="str">
        <f t="shared" si="1"/>
        <v/>
      </c>
      <c r="C31" s="151"/>
      <c r="D31" s="146" t="str">
        <f t="shared" si="2"/>
        <v/>
      </c>
      <c r="E31" s="186"/>
      <c r="F31" s="146" t="str">
        <f t="shared" si="3"/>
        <v/>
      </c>
      <c r="G31" s="185"/>
      <c r="H31" s="185"/>
      <c r="I31" s="185"/>
      <c r="J31" s="201"/>
      <c r="K31" s="200"/>
      <c r="L31" s="200"/>
      <c r="M31" s="201"/>
      <c r="N31" s="201"/>
      <c r="P31" s="141" t="str">
        <f t="shared" si="4"/>
        <v/>
      </c>
      <c r="Q31" s="141" t="str">
        <f t="shared" si="5"/>
        <v/>
      </c>
      <c r="U31" s="141">
        <v>3241</v>
      </c>
      <c r="V31" s="141" t="s">
        <v>87</v>
      </c>
      <c r="X31" s="141" t="str">
        <f t="shared" si="6"/>
        <v>32</v>
      </c>
      <c r="Y31" s="141" t="str">
        <f t="shared" si="7"/>
        <v>324</v>
      </c>
      <c r="AA31" s="141" t="s">
        <v>1584</v>
      </c>
      <c r="AB31" s="141" t="s">
        <v>1585</v>
      </c>
    </row>
    <row r="32" spans="1:28">
      <c r="A32" s="151"/>
      <c r="B32" s="146" t="str">
        <f t="shared" si="1"/>
        <v/>
      </c>
      <c r="C32" s="151"/>
      <c r="D32" s="146" t="str">
        <f t="shared" si="2"/>
        <v/>
      </c>
      <c r="E32" s="186"/>
      <c r="F32" s="146" t="str">
        <f t="shared" si="3"/>
        <v/>
      </c>
      <c r="G32" s="185"/>
      <c r="H32" s="185"/>
      <c r="I32" s="185"/>
      <c r="J32" s="201"/>
      <c r="K32" s="200"/>
      <c r="L32" s="200"/>
      <c r="M32" s="201"/>
      <c r="N32" s="201"/>
      <c r="P32" s="141" t="str">
        <f t="shared" si="4"/>
        <v/>
      </c>
      <c r="Q32" s="141" t="str">
        <f t="shared" si="5"/>
        <v/>
      </c>
      <c r="U32" s="141">
        <v>3291</v>
      </c>
      <c r="V32" s="141" t="s">
        <v>88</v>
      </c>
      <c r="X32" s="141" t="str">
        <f t="shared" si="6"/>
        <v>32</v>
      </c>
      <c r="Y32" s="141" t="str">
        <f t="shared" si="7"/>
        <v>329</v>
      </c>
      <c r="AA32" s="141" t="s">
        <v>1586</v>
      </c>
      <c r="AB32" s="141" t="s">
        <v>1587</v>
      </c>
    </row>
    <row r="33" spans="1:28">
      <c r="A33" s="151"/>
      <c r="B33" s="146" t="str">
        <f t="shared" si="1"/>
        <v/>
      </c>
      <c r="C33" s="151"/>
      <c r="D33" s="146" t="str">
        <f t="shared" si="2"/>
        <v/>
      </c>
      <c r="E33" s="186"/>
      <c r="F33" s="146" t="str">
        <f t="shared" si="3"/>
        <v/>
      </c>
      <c r="G33" s="185"/>
      <c r="H33" s="185"/>
      <c r="I33" s="185"/>
      <c r="J33" s="201"/>
      <c r="K33" s="200"/>
      <c r="L33" s="200"/>
      <c r="M33" s="201"/>
      <c r="N33" s="201"/>
      <c r="P33" s="141" t="str">
        <f t="shared" si="4"/>
        <v/>
      </c>
      <c r="Q33" s="141" t="str">
        <f t="shared" si="5"/>
        <v/>
      </c>
      <c r="U33" s="141">
        <v>3292</v>
      </c>
      <c r="V33" s="141" t="s">
        <v>81</v>
      </c>
      <c r="X33" s="141" t="str">
        <f t="shared" si="6"/>
        <v>32</v>
      </c>
      <c r="Y33" s="141" t="str">
        <f t="shared" si="7"/>
        <v>329</v>
      </c>
      <c r="AA33" s="141" t="s">
        <v>1492</v>
      </c>
      <c r="AB33" s="141" t="s">
        <v>1493</v>
      </c>
    </row>
    <row r="34" spans="1:28">
      <c r="A34" s="151"/>
      <c r="B34" s="146" t="str">
        <f t="shared" si="1"/>
        <v/>
      </c>
      <c r="C34" s="151"/>
      <c r="D34" s="146" t="str">
        <f t="shared" si="2"/>
        <v/>
      </c>
      <c r="E34" s="186"/>
      <c r="F34" s="146" t="str">
        <f t="shared" si="3"/>
        <v/>
      </c>
      <c r="G34" s="185"/>
      <c r="H34" s="185"/>
      <c r="I34" s="185"/>
      <c r="J34" s="201"/>
      <c r="K34" s="200"/>
      <c r="L34" s="200"/>
      <c r="M34" s="201"/>
      <c r="N34" s="201"/>
      <c r="P34" s="141" t="str">
        <f t="shared" si="4"/>
        <v/>
      </c>
      <c r="Q34" s="141" t="str">
        <f t="shared" si="5"/>
        <v/>
      </c>
      <c r="U34" s="141">
        <v>3293</v>
      </c>
      <c r="V34" s="141" t="s">
        <v>91</v>
      </c>
      <c r="X34" s="141" t="str">
        <f t="shared" si="6"/>
        <v>32</v>
      </c>
      <c r="Y34" s="141" t="str">
        <f t="shared" si="7"/>
        <v>329</v>
      </c>
      <c r="AA34" s="141" t="s">
        <v>1494</v>
      </c>
      <c r="AB34" s="141" t="s">
        <v>1495</v>
      </c>
    </row>
    <row r="35" spans="1:28">
      <c r="A35" s="151"/>
      <c r="B35" s="146" t="str">
        <f t="shared" si="1"/>
        <v/>
      </c>
      <c r="C35" s="151"/>
      <c r="D35" s="146" t="str">
        <f t="shared" si="2"/>
        <v/>
      </c>
      <c r="E35" s="186"/>
      <c r="F35" s="146" t="str">
        <f t="shared" si="3"/>
        <v/>
      </c>
      <c r="G35" s="185"/>
      <c r="H35" s="185"/>
      <c r="I35" s="185"/>
      <c r="J35" s="201"/>
      <c r="K35" s="200"/>
      <c r="L35" s="200"/>
      <c r="M35" s="201"/>
      <c r="N35" s="201"/>
      <c r="P35" s="141" t="str">
        <f t="shared" si="4"/>
        <v/>
      </c>
      <c r="Q35" s="141" t="str">
        <f t="shared" si="5"/>
        <v/>
      </c>
      <c r="U35" s="141">
        <v>3293</v>
      </c>
      <c r="V35" s="141" t="s">
        <v>138</v>
      </c>
      <c r="X35" s="141" t="str">
        <f t="shared" si="6"/>
        <v>32</v>
      </c>
      <c r="Y35" s="141" t="str">
        <f t="shared" si="7"/>
        <v>329</v>
      </c>
      <c r="AA35" s="141" t="s">
        <v>1496</v>
      </c>
      <c r="AB35" s="141" t="s">
        <v>1497</v>
      </c>
    </row>
    <row r="36" spans="1:28">
      <c r="A36" s="151"/>
      <c r="B36" s="146" t="str">
        <f t="shared" si="1"/>
        <v/>
      </c>
      <c r="C36" s="151"/>
      <c r="D36" s="146" t="str">
        <f t="shared" si="2"/>
        <v/>
      </c>
      <c r="E36" s="186"/>
      <c r="F36" s="146" t="str">
        <f t="shared" si="3"/>
        <v/>
      </c>
      <c r="G36" s="185"/>
      <c r="H36" s="185"/>
      <c r="I36" s="185"/>
      <c r="J36" s="201"/>
      <c r="K36" s="200"/>
      <c r="L36" s="200"/>
      <c r="M36" s="201"/>
      <c r="N36" s="201"/>
      <c r="P36" s="141" t="str">
        <f t="shared" si="4"/>
        <v/>
      </c>
      <c r="Q36" s="141" t="str">
        <f t="shared" si="5"/>
        <v/>
      </c>
      <c r="U36" s="141">
        <v>3294</v>
      </c>
      <c r="V36" s="141" t="s">
        <v>92</v>
      </c>
      <c r="X36" s="141" t="str">
        <f t="shared" si="6"/>
        <v>32</v>
      </c>
      <c r="Y36" s="141" t="str">
        <f t="shared" si="7"/>
        <v>329</v>
      </c>
      <c r="AA36" s="141" t="s">
        <v>1498</v>
      </c>
      <c r="AB36" s="141" t="s">
        <v>348</v>
      </c>
    </row>
    <row r="37" spans="1:28">
      <c r="A37" s="151"/>
      <c r="B37" s="146" t="str">
        <f t="shared" si="1"/>
        <v/>
      </c>
      <c r="C37" s="151"/>
      <c r="D37" s="146" t="str">
        <f t="shared" si="2"/>
        <v/>
      </c>
      <c r="E37" s="186"/>
      <c r="F37" s="146" t="str">
        <f t="shared" si="3"/>
        <v/>
      </c>
      <c r="G37" s="185"/>
      <c r="H37" s="185"/>
      <c r="I37" s="185"/>
      <c r="J37" s="201"/>
      <c r="K37" s="200"/>
      <c r="L37" s="200"/>
      <c r="M37" s="201"/>
      <c r="N37" s="201"/>
      <c r="P37" s="141" t="str">
        <f t="shared" si="4"/>
        <v/>
      </c>
      <c r="Q37" s="141" t="str">
        <f t="shared" si="5"/>
        <v/>
      </c>
      <c r="U37" s="141">
        <v>3295</v>
      </c>
      <c r="V37" s="141" t="s">
        <v>61</v>
      </c>
      <c r="X37" s="141" t="str">
        <f t="shared" si="6"/>
        <v>32</v>
      </c>
      <c r="Y37" s="141" t="str">
        <f t="shared" si="7"/>
        <v>329</v>
      </c>
      <c r="AA37" s="141" t="s">
        <v>1499</v>
      </c>
      <c r="AB37" s="141" t="s">
        <v>1500</v>
      </c>
    </row>
    <row r="38" spans="1:28">
      <c r="A38" s="151"/>
      <c r="B38" s="146" t="str">
        <f t="shared" si="1"/>
        <v/>
      </c>
      <c r="C38" s="151"/>
      <c r="D38" s="146" t="str">
        <f t="shared" si="2"/>
        <v/>
      </c>
      <c r="E38" s="186"/>
      <c r="F38" s="146" t="str">
        <f t="shared" si="3"/>
        <v/>
      </c>
      <c r="G38" s="185"/>
      <c r="H38" s="185"/>
      <c r="I38" s="185"/>
      <c r="J38" s="201"/>
      <c r="K38" s="200"/>
      <c r="L38" s="200"/>
      <c r="M38" s="201"/>
      <c r="N38" s="201"/>
      <c r="P38" s="141" t="str">
        <f t="shared" si="4"/>
        <v/>
      </c>
      <c r="Q38" s="141" t="str">
        <f t="shared" si="5"/>
        <v/>
      </c>
      <c r="U38" s="141">
        <v>3296</v>
      </c>
      <c r="V38" s="141" t="s">
        <v>155</v>
      </c>
      <c r="X38" s="141" t="str">
        <f t="shared" si="6"/>
        <v>32</v>
      </c>
      <c r="Y38" s="141" t="str">
        <f t="shared" si="7"/>
        <v>329</v>
      </c>
      <c r="AA38" s="141" t="s">
        <v>1501</v>
      </c>
      <c r="AB38" s="141" t="s">
        <v>1502</v>
      </c>
    </row>
    <row r="39" spans="1:28">
      <c r="A39" s="151"/>
      <c r="B39" s="146" t="str">
        <f t="shared" si="1"/>
        <v/>
      </c>
      <c r="C39" s="151"/>
      <c r="D39" s="146" t="str">
        <f t="shared" si="2"/>
        <v/>
      </c>
      <c r="E39" s="186"/>
      <c r="F39" s="146" t="str">
        <f t="shared" si="3"/>
        <v/>
      </c>
      <c r="G39" s="185"/>
      <c r="H39" s="185"/>
      <c r="I39" s="185"/>
      <c r="J39" s="201"/>
      <c r="K39" s="200"/>
      <c r="L39" s="200"/>
      <c r="M39" s="201"/>
      <c r="N39" s="201"/>
      <c r="P39" s="141" t="str">
        <f t="shared" si="4"/>
        <v/>
      </c>
      <c r="Q39" s="141" t="str">
        <f t="shared" si="5"/>
        <v/>
      </c>
      <c r="U39" s="141">
        <v>3299</v>
      </c>
      <c r="V39" s="141" t="s">
        <v>64</v>
      </c>
      <c r="X39" s="141" t="str">
        <f t="shared" si="6"/>
        <v>32</v>
      </c>
      <c r="Y39" s="141" t="str">
        <f t="shared" si="7"/>
        <v>329</v>
      </c>
      <c r="AA39" s="141" t="s">
        <v>1503</v>
      </c>
      <c r="AB39" s="141" t="s">
        <v>1504</v>
      </c>
    </row>
    <row r="40" spans="1:28">
      <c r="A40" s="151"/>
      <c r="B40" s="146" t="str">
        <f t="shared" si="1"/>
        <v/>
      </c>
      <c r="C40" s="151"/>
      <c r="D40" s="146" t="str">
        <f t="shared" si="2"/>
        <v/>
      </c>
      <c r="E40" s="186"/>
      <c r="F40" s="146" t="str">
        <f t="shared" si="3"/>
        <v/>
      </c>
      <c r="G40" s="185"/>
      <c r="H40" s="185"/>
      <c r="I40" s="185"/>
      <c r="J40" s="201"/>
      <c r="K40" s="200"/>
      <c r="L40" s="200"/>
      <c r="M40" s="201"/>
      <c r="N40" s="201"/>
      <c r="P40" s="141" t="str">
        <f t="shared" si="4"/>
        <v/>
      </c>
      <c r="Q40" s="141" t="str">
        <f t="shared" si="5"/>
        <v/>
      </c>
      <c r="U40" s="141">
        <v>3411</v>
      </c>
      <c r="V40" s="141" t="s">
        <v>193</v>
      </c>
      <c r="X40" s="141" t="str">
        <f t="shared" si="6"/>
        <v>34</v>
      </c>
      <c r="Y40" s="141" t="str">
        <f t="shared" si="7"/>
        <v>341</v>
      </c>
      <c r="AA40" s="141" t="s">
        <v>1505</v>
      </c>
      <c r="AB40" s="141" t="s">
        <v>1506</v>
      </c>
    </row>
    <row r="41" spans="1:28">
      <c r="A41" s="151"/>
      <c r="B41" s="146" t="str">
        <f t="shared" si="1"/>
        <v/>
      </c>
      <c r="C41" s="151"/>
      <c r="D41" s="146" t="str">
        <f t="shared" si="2"/>
        <v/>
      </c>
      <c r="E41" s="186"/>
      <c r="F41" s="146" t="str">
        <f t="shared" si="3"/>
        <v/>
      </c>
      <c r="G41" s="185"/>
      <c r="H41" s="185"/>
      <c r="I41" s="185"/>
      <c r="J41" s="201"/>
      <c r="K41" s="200"/>
      <c r="L41" s="200"/>
      <c r="M41" s="201"/>
      <c r="N41" s="201"/>
      <c r="P41" s="141" t="str">
        <f t="shared" si="4"/>
        <v/>
      </c>
      <c r="Q41" s="141" t="str">
        <f t="shared" si="5"/>
        <v/>
      </c>
      <c r="U41" s="141">
        <v>3422</v>
      </c>
      <c r="V41" s="141" t="s">
        <v>156</v>
      </c>
      <c r="X41" s="141" t="str">
        <f t="shared" si="6"/>
        <v>34</v>
      </c>
      <c r="Y41" s="141" t="str">
        <f t="shared" si="7"/>
        <v>342</v>
      </c>
      <c r="AA41" s="141" t="s">
        <v>1507</v>
      </c>
      <c r="AB41" s="141" t="s">
        <v>1508</v>
      </c>
    </row>
    <row r="42" spans="1:28">
      <c r="A42" s="151"/>
      <c r="B42" s="146" t="str">
        <f t="shared" si="1"/>
        <v/>
      </c>
      <c r="C42" s="151"/>
      <c r="D42" s="146" t="str">
        <f t="shared" si="2"/>
        <v/>
      </c>
      <c r="E42" s="186"/>
      <c r="F42" s="146" t="str">
        <f t="shared" si="3"/>
        <v/>
      </c>
      <c r="G42" s="185"/>
      <c r="H42" s="185"/>
      <c r="I42" s="185"/>
      <c r="J42" s="201"/>
      <c r="K42" s="200"/>
      <c r="L42" s="200"/>
      <c r="M42" s="201"/>
      <c r="N42" s="201"/>
      <c r="P42" s="141" t="str">
        <f t="shared" si="4"/>
        <v/>
      </c>
      <c r="Q42" s="141" t="str">
        <f t="shared" si="5"/>
        <v/>
      </c>
      <c r="U42" s="141">
        <v>3423</v>
      </c>
      <c r="V42" s="141" t="s">
        <v>156</v>
      </c>
      <c r="X42" s="141" t="str">
        <f t="shared" si="6"/>
        <v>34</v>
      </c>
      <c r="Y42" s="141" t="str">
        <f t="shared" si="7"/>
        <v>342</v>
      </c>
      <c r="AA42" s="141" t="s">
        <v>828</v>
      </c>
      <c r="AB42" s="141" t="s">
        <v>829</v>
      </c>
    </row>
    <row r="43" spans="1:28">
      <c r="A43" s="151"/>
      <c r="B43" s="146" t="str">
        <f t="shared" si="1"/>
        <v/>
      </c>
      <c r="C43" s="151"/>
      <c r="D43" s="146" t="str">
        <f t="shared" si="2"/>
        <v/>
      </c>
      <c r="E43" s="186"/>
      <c r="F43" s="146" t="str">
        <f t="shared" si="3"/>
        <v/>
      </c>
      <c r="G43" s="185"/>
      <c r="H43" s="185"/>
      <c r="I43" s="185"/>
      <c r="J43" s="201"/>
      <c r="K43" s="200"/>
      <c r="L43" s="200"/>
      <c r="M43" s="201"/>
      <c r="N43" s="201"/>
      <c r="P43" s="141" t="str">
        <f t="shared" si="4"/>
        <v/>
      </c>
      <c r="Q43" s="141" t="str">
        <f t="shared" si="5"/>
        <v/>
      </c>
      <c r="U43" s="141">
        <v>3427</v>
      </c>
      <c r="V43" s="141" t="s">
        <v>195</v>
      </c>
      <c r="X43" s="141" t="str">
        <f t="shared" si="6"/>
        <v>34</v>
      </c>
      <c r="Y43" s="141" t="str">
        <f t="shared" si="7"/>
        <v>342</v>
      </c>
      <c r="AA43" s="141" t="s">
        <v>830</v>
      </c>
      <c r="AB43" s="141" t="s">
        <v>831</v>
      </c>
    </row>
    <row r="44" spans="1:28">
      <c r="A44" s="151"/>
      <c r="B44" s="146" t="str">
        <f t="shared" si="1"/>
        <v/>
      </c>
      <c r="C44" s="151"/>
      <c r="D44" s="146" t="str">
        <f t="shared" si="2"/>
        <v/>
      </c>
      <c r="E44" s="186"/>
      <c r="F44" s="146" t="str">
        <f t="shared" si="3"/>
        <v/>
      </c>
      <c r="G44" s="185"/>
      <c r="H44" s="185"/>
      <c r="I44" s="185"/>
      <c r="J44" s="201"/>
      <c r="K44" s="200"/>
      <c r="L44" s="200"/>
      <c r="M44" s="201"/>
      <c r="N44" s="201"/>
      <c r="P44" s="141" t="str">
        <f t="shared" si="4"/>
        <v/>
      </c>
      <c r="Q44" s="141" t="str">
        <f t="shared" si="5"/>
        <v/>
      </c>
      <c r="U44" s="141">
        <v>3431</v>
      </c>
      <c r="V44" s="141" t="s">
        <v>89</v>
      </c>
      <c r="X44" s="141" t="str">
        <f t="shared" si="6"/>
        <v>34</v>
      </c>
      <c r="Y44" s="141" t="str">
        <f t="shared" si="7"/>
        <v>343</v>
      </c>
      <c r="AA44" s="141" t="s">
        <v>832</v>
      </c>
      <c r="AB44" s="141" t="s">
        <v>833</v>
      </c>
    </row>
    <row r="45" spans="1:28">
      <c r="A45" s="151"/>
      <c r="B45" s="146" t="str">
        <f t="shared" si="1"/>
        <v/>
      </c>
      <c r="C45" s="151"/>
      <c r="D45" s="146" t="str">
        <f t="shared" si="2"/>
        <v/>
      </c>
      <c r="E45" s="186"/>
      <c r="F45" s="146" t="str">
        <f t="shared" si="3"/>
        <v/>
      </c>
      <c r="G45" s="185"/>
      <c r="H45" s="185"/>
      <c r="I45" s="185"/>
      <c r="J45" s="201"/>
      <c r="K45" s="200"/>
      <c r="L45" s="200"/>
      <c r="M45" s="201"/>
      <c r="N45" s="201"/>
      <c r="P45" s="141" t="str">
        <f t="shared" si="4"/>
        <v/>
      </c>
      <c r="Q45" s="141" t="str">
        <f t="shared" si="5"/>
        <v/>
      </c>
      <c r="U45" s="141">
        <v>3432</v>
      </c>
      <c r="V45" s="141" t="s">
        <v>105</v>
      </c>
      <c r="X45" s="141" t="str">
        <f t="shared" si="6"/>
        <v>34</v>
      </c>
      <c r="Y45" s="141" t="str">
        <f t="shared" si="7"/>
        <v>343</v>
      </c>
      <c r="AA45" s="141" t="s">
        <v>834</v>
      </c>
      <c r="AB45" s="141" t="s">
        <v>835</v>
      </c>
    </row>
    <row r="46" spans="1:28">
      <c r="A46" s="151"/>
      <c r="B46" s="146" t="str">
        <f t="shared" si="1"/>
        <v/>
      </c>
      <c r="C46" s="151"/>
      <c r="D46" s="146" t="str">
        <f t="shared" si="2"/>
        <v/>
      </c>
      <c r="E46" s="186"/>
      <c r="F46" s="146" t="str">
        <f t="shared" si="3"/>
        <v/>
      </c>
      <c r="G46" s="185"/>
      <c r="H46" s="185"/>
      <c r="I46" s="185"/>
      <c r="J46" s="201"/>
      <c r="K46" s="200"/>
      <c r="L46" s="200"/>
      <c r="M46" s="201"/>
      <c r="N46" s="201"/>
      <c r="P46" s="141" t="str">
        <f t="shared" si="4"/>
        <v/>
      </c>
      <c r="Q46" s="141" t="str">
        <f t="shared" si="5"/>
        <v/>
      </c>
      <c r="U46" s="141">
        <v>3433</v>
      </c>
      <c r="V46" s="141" t="s">
        <v>143</v>
      </c>
      <c r="X46" s="141" t="str">
        <f t="shared" si="6"/>
        <v>34</v>
      </c>
      <c r="Y46" s="141" t="str">
        <f t="shared" si="7"/>
        <v>343</v>
      </c>
      <c r="AA46" s="141" t="s">
        <v>836</v>
      </c>
      <c r="AB46" s="141" t="s">
        <v>837</v>
      </c>
    </row>
    <row r="47" spans="1:28">
      <c r="A47" s="151"/>
      <c r="B47" s="146" t="str">
        <f t="shared" si="1"/>
        <v/>
      </c>
      <c r="C47" s="151"/>
      <c r="D47" s="146" t="str">
        <f t="shared" si="2"/>
        <v/>
      </c>
      <c r="E47" s="186"/>
      <c r="F47" s="146" t="str">
        <f t="shared" si="3"/>
        <v/>
      </c>
      <c r="G47" s="185"/>
      <c r="H47" s="185"/>
      <c r="I47" s="185"/>
      <c r="J47" s="201"/>
      <c r="K47" s="200"/>
      <c r="L47" s="200"/>
      <c r="M47" s="201"/>
      <c r="N47" s="201"/>
      <c r="P47" s="141" t="str">
        <f t="shared" si="4"/>
        <v/>
      </c>
      <c r="Q47" s="141" t="str">
        <f t="shared" si="5"/>
        <v/>
      </c>
      <c r="U47" s="141">
        <v>3434</v>
      </c>
      <c r="V47" s="141" t="s">
        <v>74</v>
      </c>
      <c r="X47" s="141" t="str">
        <f t="shared" si="6"/>
        <v>34</v>
      </c>
      <c r="Y47" s="141" t="str">
        <f t="shared" si="7"/>
        <v>343</v>
      </c>
      <c r="AA47" s="141" t="s">
        <v>838</v>
      </c>
      <c r="AB47" s="141" t="s">
        <v>839</v>
      </c>
    </row>
    <row r="48" spans="1:28">
      <c r="A48" s="151"/>
      <c r="B48" s="146" t="str">
        <f t="shared" si="1"/>
        <v/>
      </c>
      <c r="C48" s="151"/>
      <c r="D48" s="146" t="str">
        <f t="shared" si="2"/>
        <v/>
      </c>
      <c r="E48" s="186"/>
      <c r="F48" s="146" t="str">
        <f t="shared" si="3"/>
        <v/>
      </c>
      <c r="G48" s="185"/>
      <c r="H48" s="185"/>
      <c r="I48" s="185"/>
      <c r="J48" s="201"/>
      <c r="K48" s="200"/>
      <c r="L48" s="200"/>
      <c r="M48" s="201"/>
      <c r="N48" s="201"/>
      <c r="P48" s="141" t="str">
        <f t="shared" si="4"/>
        <v/>
      </c>
      <c r="Q48" s="141" t="str">
        <f t="shared" si="5"/>
        <v/>
      </c>
      <c r="U48" s="141">
        <v>3511</v>
      </c>
      <c r="V48" s="141" t="s">
        <v>186</v>
      </c>
      <c r="X48" s="141" t="str">
        <f t="shared" si="6"/>
        <v>35</v>
      </c>
      <c r="Y48" s="141" t="str">
        <f t="shared" si="7"/>
        <v>351</v>
      </c>
      <c r="AA48" s="141" t="s">
        <v>840</v>
      </c>
      <c r="AB48" s="141" t="s">
        <v>841</v>
      </c>
    </row>
    <row r="49" spans="1:28">
      <c r="A49" s="151"/>
      <c r="B49" s="146" t="str">
        <f t="shared" si="1"/>
        <v/>
      </c>
      <c r="C49" s="151"/>
      <c r="D49" s="146" t="str">
        <f t="shared" si="2"/>
        <v/>
      </c>
      <c r="E49" s="186"/>
      <c r="F49" s="146" t="str">
        <f t="shared" si="3"/>
        <v/>
      </c>
      <c r="G49" s="185"/>
      <c r="H49" s="185"/>
      <c r="I49" s="185"/>
      <c r="J49" s="201"/>
      <c r="K49" s="200"/>
      <c r="L49" s="200"/>
      <c r="M49" s="201"/>
      <c r="N49" s="201"/>
      <c r="P49" s="141" t="str">
        <f t="shared" si="4"/>
        <v/>
      </c>
      <c r="Q49" s="141" t="str">
        <f t="shared" si="5"/>
        <v/>
      </c>
      <c r="U49" s="141">
        <v>3512</v>
      </c>
      <c r="V49" s="141" t="s">
        <v>188</v>
      </c>
      <c r="X49" s="141" t="str">
        <f t="shared" si="6"/>
        <v>35</v>
      </c>
      <c r="Y49" s="141" t="str">
        <f t="shared" si="7"/>
        <v>351</v>
      </c>
      <c r="AA49" s="141" t="s">
        <v>842</v>
      </c>
      <c r="AB49" s="141" t="s">
        <v>843</v>
      </c>
    </row>
    <row r="50" spans="1:28">
      <c r="A50" s="151"/>
      <c r="B50" s="146" t="str">
        <f t="shared" si="1"/>
        <v/>
      </c>
      <c r="C50" s="151"/>
      <c r="D50" s="146" t="str">
        <f t="shared" si="2"/>
        <v/>
      </c>
      <c r="E50" s="186"/>
      <c r="F50" s="146" t="str">
        <f t="shared" si="3"/>
        <v/>
      </c>
      <c r="G50" s="185"/>
      <c r="H50" s="185"/>
      <c r="I50" s="185"/>
      <c r="J50" s="201"/>
      <c r="K50" s="200"/>
      <c r="L50" s="200"/>
      <c r="M50" s="201"/>
      <c r="N50" s="201"/>
      <c r="P50" s="141" t="str">
        <f t="shared" si="4"/>
        <v/>
      </c>
      <c r="Q50" s="141" t="str">
        <f t="shared" si="5"/>
        <v/>
      </c>
      <c r="U50" s="141">
        <v>3522</v>
      </c>
      <c r="V50" s="141" t="s">
        <v>265</v>
      </c>
      <c r="X50" s="141" t="str">
        <f t="shared" si="6"/>
        <v>35</v>
      </c>
      <c r="Y50" s="141" t="str">
        <f t="shared" si="7"/>
        <v>352</v>
      </c>
      <c r="AA50" s="141" t="s">
        <v>844</v>
      </c>
      <c r="AB50" s="141" t="s">
        <v>845</v>
      </c>
    </row>
    <row r="51" spans="1:28">
      <c r="A51" s="151"/>
      <c r="B51" s="146" t="str">
        <f t="shared" si="1"/>
        <v/>
      </c>
      <c r="C51" s="151"/>
      <c r="D51" s="146" t="str">
        <f t="shared" si="2"/>
        <v/>
      </c>
      <c r="E51" s="186"/>
      <c r="F51" s="146" t="str">
        <f t="shared" si="3"/>
        <v/>
      </c>
      <c r="G51" s="185"/>
      <c r="H51" s="185"/>
      <c r="I51" s="185"/>
      <c r="J51" s="201"/>
      <c r="K51" s="200"/>
      <c r="L51" s="200"/>
      <c r="M51" s="201"/>
      <c r="N51" s="201"/>
      <c r="P51" s="141" t="str">
        <f t="shared" si="4"/>
        <v/>
      </c>
      <c r="Q51" s="141" t="str">
        <f t="shared" si="5"/>
        <v/>
      </c>
      <c r="U51" s="141">
        <v>3531</v>
      </c>
      <c r="V51" s="141" t="s">
        <v>140</v>
      </c>
      <c r="X51" s="141" t="str">
        <f t="shared" si="6"/>
        <v>35</v>
      </c>
      <c r="Y51" s="141" t="str">
        <f t="shared" si="7"/>
        <v>353</v>
      </c>
      <c r="AA51" s="141" t="s">
        <v>1588</v>
      </c>
      <c r="AB51" s="141" t="s">
        <v>1589</v>
      </c>
    </row>
    <row r="52" spans="1:28">
      <c r="A52" s="151"/>
      <c r="B52" s="146" t="str">
        <f t="shared" si="1"/>
        <v/>
      </c>
      <c r="C52" s="151"/>
      <c r="D52" s="146" t="str">
        <f t="shared" si="2"/>
        <v/>
      </c>
      <c r="E52" s="186"/>
      <c r="F52" s="146" t="str">
        <f t="shared" si="3"/>
        <v/>
      </c>
      <c r="G52" s="185"/>
      <c r="H52" s="185"/>
      <c r="I52" s="185"/>
      <c r="J52" s="201"/>
      <c r="K52" s="200"/>
      <c r="L52" s="200"/>
      <c r="M52" s="201"/>
      <c r="N52" s="201"/>
      <c r="P52" s="141" t="str">
        <f t="shared" si="4"/>
        <v/>
      </c>
      <c r="Q52" s="141" t="str">
        <f t="shared" si="5"/>
        <v/>
      </c>
      <c r="U52" s="141">
        <v>3611</v>
      </c>
      <c r="V52" s="141" t="s">
        <v>94</v>
      </c>
      <c r="X52" s="141" t="str">
        <f t="shared" si="6"/>
        <v>36</v>
      </c>
      <c r="Y52" s="141" t="str">
        <f t="shared" si="7"/>
        <v>361</v>
      </c>
      <c r="AA52" s="141" t="s">
        <v>1590</v>
      </c>
      <c r="AB52" s="141" t="s">
        <v>1591</v>
      </c>
    </row>
    <row r="53" spans="1:28">
      <c r="A53" s="151"/>
      <c r="B53" s="146" t="str">
        <f t="shared" si="1"/>
        <v/>
      </c>
      <c r="C53" s="151"/>
      <c r="D53" s="146" t="str">
        <f t="shared" si="2"/>
        <v/>
      </c>
      <c r="E53" s="186"/>
      <c r="F53" s="146" t="str">
        <f t="shared" si="3"/>
        <v/>
      </c>
      <c r="G53" s="185"/>
      <c r="H53" s="185"/>
      <c r="I53" s="185"/>
      <c r="J53" s="201"/>
      <c r="K53" s="200"/>
      <c r="L53" s="200"/>
      <c r="M53" s="201"/>
      <c r="N53" s="201"/>
      <c r="P53" s="141" t="str">
        <f t="shared" si="4"/>
        <v/>
      </c>
      <c r="Q53" s="141" t="str">
        <f t="shared" si="5"/>
        <v/>
      </c>
      <c r="U53" s="141">
        <v>3621</v>
      </c>
      <c r="V53" s="141" t="s">
        <v>144</v>
      </c>
      <c r="X53" s="141" t="str">
        <f t="shared" si="6"/>
        <v>36</v>
      </c>
      <c r="Y53" s="141" t="str">
        <f t="shared" si="7"/>
        <v>362</v>
      </c>
      <c r="AA53" s="141" t="s">
        <v>1592</v>
      </c>
      <c r="AB53" s="141" t="s">
        <v>1593</v>
      </c>
    </row>
    <row r="54" spans="1:28">
      <c r="A54" s="151"/>
      <c r="B54" s="146" t="str">
        <f t="shared" si="1"/>
        <v/>
      </c>
      <c r="C54" s="151"/>
      <c r="D54" s="146" t="str">
        <f t="shared" si="2"/>
        <v/>
      </c>
      <c r="E54" s="186"/>
      <c r="F54" s="146" t="str">
        <f t="shared" si="3"/>
        <v/>
      </c>
      <c r="G54" s="185"/>
      <c r="H54" s="185"/>
      <c r="I54" s="185"/>
      <c r="J54" s="201"/>
      <c r="K54" s="200"/>
      <c r="L54" s="200"/>
      <c r="M54" s="201"/>
      <c r="N54" s="201"/>
      <c r="P54" s="141" t="str">
        <f t="shared" si="4"/>
        <v/>
      </c>
      <c r="Q54" s="141" t="str">
        <f t="shared" si="5"/>
        <v/>
      </c>
      <c r="U54" s="141">
        <v>3631</v>
      </c>
      <c r="V54" s="141" t="s">
        <v>185</v>
      </c>
      <c r="X54" s="141" t="str">
        <f t="shared" si="6"/>
        <v>36</v>
      </c>
      <c r="Y54" s="141" t="str">
        <f t="shared" si="7"/>
        <v>363</v>
      </c>
      <c r="AA54" s="141" t="s">
        <v>1594</v>
      </c>
      <c r="AB54" s="141" t="s">
        <v>1595</v>
      </c>
    </row>
    <row r="55" spans="1:28">
      <c r="A55" s="151"/>
      <c r="B55" s="146" t="str">
        <f t="shared" si="1"/>
        <v/>
      </c>
      <c r="C55" s="151"/>
      <c r="D55" s="146" t="str">
        <f t="shared" si="2"/>
        <v/>
      </c>
      <c r="E55" s="186"/>
      <c r="F55" s="146" t="str">
        <f t="shared" si="3"/>
        <v/>
      </c>
      <c r="G55" s="185"/>
      <c r="H55" s="185"/>
      <c r="I55" s="185"/>
      <c r="J55" s="201"/>
      <c r="K55" s="200"/>
      <c r="L55" s="200"/>
      <c r="M55" s="201"/>
      <c r="N55" s="201"/>
      <c r="P55" s="141" t="str">
        <f t="shared" si="4"/>
        <v/>
      </c>
      <c r="Q55" s="141" t="str">
        <f t="shared" si="5"/>
        <v/>
      </c>
      <c r="U55" s="141">
        <v>3632</v>
      </c>
      <c r="V55" s="141" t="s">
        <v>266</v>
      </c>
      <c r="X55" s="141" t="str">
        <f t="shared" si="6"/>
        <v>36</v>
      </c>
      <c r="Y55" s="141" t="str">
        <f t="shared" si="7"/>
        <v>363</v>
      </c>
      <c r="AA55" s="141" t="s">
        <v>1596</v>
      </c>
      <c r="AB55" s="141" t="s">
        <v>1597</v>
      </c>
    </row>
    <row r="56" spans="1:28">
      <c r="A56" s="151"/>
      <c r="B56" s="146" t="str">
        <f t="shared" si="1"/>
        <v/>
      </c>
      <c r="C56" s="151"/>
      <c r="D56" s="146" t="str">
        <f t="shared" si="2"/>
        <v/>
      </c>
      <c r="E56" s="186"/>
      <c r="F56" s="146" t="str">
        <f t="shared" si="3"/>
        <v/>
      </c>
      <c r="G56" s="185"/>
      <c r="H56" s="185"/>
      <c r="I56" s="185"/>
      <c r="J56" s="201"/>
      <c r="K56" s="200"/>
      <c r="L56" s="200"/>
      <c r="M56" s="201"/>
      <c r="N56" s="201"/>
      <c r="P56" s="141" t="str">
        <f t="shared" si="4"/>
        <v/>
      </c>
      <c r="Q56" s="141" t="str">
        <f t="shared" si="5"/>
        <v/>
      </c>
      <c r="U56" s="141">
        <v>3661</v>
      </c>
      <c r="V56" s="141" t="s">
        <v>106</v>
      </c>
      <c r="X56" s="141" t="str">
        <f t="shared" si="6"/>
        <v>36</v>
      </c>
      <c r="Y56" s="141" t="str">
        <f t="shared" si="7"/>
        <v>366</v>
      </c>
      <c r="AA56" s="141" t="s">
        <v>1598</v>
      </c>
      <c r="AB56" s="141" t="s">
        <v>1599</v>
      </c>
    </row>
    <row r="57" spans="1:28">
      <c r="A57" s="151"/>
      <c r="B57" s="146" t="str">
        <f t="shared" si="1"/>
        <v/>
      </c>
      <c r="C57" s="151"/>
      <c r="D57" s="146" t="str">
        <f t="shared" si="2"/>
        <v/>
      </c>
      <c r="E57" s="186"/>
      <c r="F57" s="146" t="str">
        <f t="shared" si="3"/>
        <v/>
      </c>
      <c r="G57" s="185"/>
      <c r="H57" s="185"/>
      <c r="I57" s="185"/>
      <c r="J57" s="201"/>
      <c r="K57" s="200"/>
      <c r="L57" s="200"/>
      <c r="M57" s="201"/>
      <c r="N57" s="201"/>
      <c r="P57" s="141" t="str">
        <f t="shared" si="4"/>
        <v/>
      </c>
      <c r="Q57" s="141" t="str">
        <f t="shared" si="5"/>
        <v/>
      </c>
      <c r="U57" s="141">
        <v>3662</v>
      </c>
      <c r="V57" s="141" t="s">
        <v>189</v>
      </c>
      <c r="X57" s="141" t="str">
        <f t="shared" si="6"/>
        <v>36</v>
      </c>
      <c r="Y57" s="141" t="str">
        <f t="shared" si="7"/>
        <v>366</v>
      </c>
      <c r="AA57" s="141" t="s">
        <v>1600</v>
      </c>
      <c r="AB57" s="141" t="s">
        <v>1601</v>
      </c>
    </row>
    <row r="58" spans="1:28">
      <c r="A58" s="151"/>
      <c r="B58" s="146" t="str">
        <f t="shared" si="1"/>
        <v/>
      </c>
      <c r="C58" s="151"/>
      <c r="D58" s="146" t="str">
        <f t="shared" si="2"/>
        <v/>
      </c>
      <c r="E58" s="186"/>
      <c r="F58" s="146" t="str">
        <f t="shared" si="3"/>
        <v/>
      </c>
      <c r="G58" s="185"/>
      <c r="H58" s="185"/>
      <c r="I58" s="185"/>
      <c r="J58" s="201"/>
      <c r="K58" s="200"/>
      <c r="L58" s="200"/>
      <c r="M58" s="201"/>
      <c r="N58" s="201"/>
      <c r="P58" s="141" t="str">
        <f t="shared" si="4"/>
        <v/>
      </c>
      <c r="Q58" s="141" t="str">
        <f t="shared" si="5"/>
        <v/>
      </c>
      <c r="U58" s="141">
        <v>3681</v>
      </c>
      <c r="V58" s="141" t="s">
        <v>29</v>
      </c>
      <c r="X58" s="141" t="str">
        <f t="shared" si="6"/>
        <v>36</v>
      </c>
      <c r="Y58" s="141" t="str">
        <f t="shared" si="7"/>
        <v>368</v>
      </c>
      <c r="AA58" s="141" t="s">
        <v>1602</v>
      </c>
      <c r="AB58" s="141" t="s">
        <v>1603</v>
      </c>
    </row>
    <row r="59" spans="1:28">
      <c r="A59" s="151"/>
      <c r="B59" s="146" t="str">
        <f t="shared" si="1"/>
        <v/>
      </c>
      <c r="C59" s="151"/>
      <c r="D59" s="146" t="str">
        <f t="shared" si="2"/>
        <v/>
      </c>
      <c r="E59" s="186"/>
      <c r="F59" s="146" t="str">
        <f t="shared" si="3"/>
        <v/>
      </c>
      <c r="G59" s="185"/>
      <c r="H59" s="185"/>
      <c r="I59" s="185"/>
      <c r="J59" s="201"/>
      <c r="K59" s="200"/>
      <c r="L59" s="200"/>
      <c r="M59" s="201"/>
      <c r="N59" s="201"/>
      <c r="P59" s="141" t="str">
        <f t="shared" si="4"/>
        <v/>
      </c>
      <c r="Q59" s="141" t="str">
        <f t="shared" si="5"/>
        <v/>
      </c>
      <c r="U59" s="141">
        <v>3682</v>
      </c>
      <c r="V59" s="141" t="s">
        <v>30</v>
      </c>
      <c r="X59" s="141" t="str">
        <f t="shared" si="6"/>
        <v>36</v>
      </c>
      <c r="Y59" s="141" t="str">
        <f t="shared" si="7"/>
        <v>368</v>
      </c>
      <c r="AA59" s="141" t="s">
        <v>1604</v>
      </c>
      <c r="AB59" s="141" t="s">
        <v>1605</v>
      </c>
    </row>
    <row r="60" spans="1:28">
      <c r="A60" s="151"/>
      <c r="B60" s="146" t="str">
        <f t="shared" si="1"/>
        <v/>
      </c>
      <c r="C60" s="151"/>
      <c r="D60" s="146" t="str">
        <f t="shared" si="2"/>
        <v/>
      </c>
      <c r="E60" s="186"/>
      <c r="F60" s="146" t="str">
        <f t="shared" si="3"/>
        <v/>
      </c>
      <c r="G60" s="185"/>
      <c r="H60" s="185"/>
      <c r="I60" s="185"/>
      <c r="J60" s="201"/>
      <c r="K60" s="200"/>
      <c r="L60" s="200"/>
      <c r="M60" s="201"/>
      <c r="N60" s="201"/>
      <c r="P60" s="141" t="str">
        <f t="shared" si="4"/>
        <v/>
      </c>
      <c r="Q60" s="141" t="str">
        <f t="shared" si="5"/>
        <v/>
      </c>
      <c r="U60" s="141">
        <v>3691</v>
      </c>
      <c r="V60" s="141" t="s">
        <v>111</v>
      </c>
      <c r="X60" s="141" t="str">
        <f t="shared" si="6"/>
        <v>36</v>
      </c>
      <c r="Y60" s="141" t="str">
        <f t="shared" si="7"/>
        <v>369</v>
      </c>
      <c r="AA60" s="141" t="s">
        <v>1606</v>
      </c>
      <c r="AB60" s="141" t="s">
        <v>1607</v>
      </c>
    </row>
    <row r="61" spans="1:28">
      <c r="A61" s="151"/>
      <c r="B61" s="146" t="str">
        <f t="shared" si="1"/>
        <v/>
      </c>
      <c r="C61" s="151"/>
      <c r="D61" s="146" t="str">
        <f t="shared" si="2"/>
        <v/>
      </c>
      <c r="E61" s="186"/>
      <c r="F61" s="146" t="str">
        <f t="shared" si="3"/>
        <v/>
      </c>
      <c r="G61" s="185"/>
      <c r="H61" s="185"/>
      <c r="I61" s="185"/>
      <c r="J61" s="201"/>
      <c r="K61" s="200"/>
      <c r="L61" s="200"/>
      <c r="M61" s="201"/>
      <c r="N61" s="201"/>
      <c r="P61" s="141" t="str">
        <f t="shared" si="4"/>
        <v/>
      </c>
      <c r="Q61" s="141" t="str">
        <f t="shared" si="5"/>
        <v/>
      </c>
      <c r="U61" s="141">
        <v>3692</v>
      </c>
      <c r="V61" s="141" t="s">
        <v>183</v>
      </c>
      <c r="X61" s="141" t="str">
        <f t="shared" si="6"/>
        <v>36</v>
      </c>
      <c r="Y61" s="141" t="str">
        <f t="shared" si="7"/>
        <v>369</v>
      </c>
      <c r="AA61" s="141" t="s">
        <v>1608</v>
      </c>
      <c r="AB61" s="141" t="s">
        <v>1609</v>
      </c>
    </row>
    <row r="62" spans="1:28">
      <c r="A62" s="151"/>
      <c r="B62" s="146" t="str">
        <f t="shared" si="1"/>
        <v/>
      </c>
      <c r="C62" s="151"/>
      <c r="D62" s="146" t="str">
        <f t="shared" si="2"/>
        <v/>
      </c>
      <c r="E62" s="186"/>
      <c r="F62" s="146" t="str">
        <f t="shared" si="3"/>
        <v/>
      </c>
      <c r="G62" s="185"/>
      <c r="H62" s="185"/>
      <c r="I62" s="185"/>
      <c r="J62" s="201"/>
      <c r="K62" s="200"/>
      <c r="L62" s="200"/>
      <c r="M62" s="201"/>
      <c r="N62" s="201"/>
      <c r="P62" s="141" t="str">
        <f t="shared" si="4"/>
        <v/>
      </c>
      <c r="Q62" s="141" t="str">
        <f t="shared" si="5"/>
        <v/>
      </c>
      <c r="U62" s="141">
        <v>3693</v>
      </c>
      <c r="V62" s="141" t="s">
        <v>111</v>
      </c>
      <c r="X62" s="141" t="str">
        <f t="shared" si="6"/>
        <v>36</v>
      </c>
      <c r="Y62" s="141" t="str">
        <f t="shared" si="7"/>
        <v>369</v>
      </c>
      <c r="AA62" s="141" t="s">
        <v>1610</v>
      </c>
      <c r="AB62" s="141" t="s">
        <v>1611</v>
      </c>
    </row>
    <row r="63" spans="1:28">
      <c r="A63" s="151"/>
      <c r="B63" s="146" t="str">
        <f t="shared" si="1"/>
        <v/>
      </c>
      <c r="C63" s="151"/>
      <c r="D63" s="146" t="str">
        <f t="shared" si="2"/>
        <v/>
      </c>
      <c r="E63" s="186"/>
      <c r="F63" s="146" t="str">
        <f t="shared" si="3"/>
        <v/>
      </c>
      <c r="G63" s="185"/>
      <c r="H63" s="185"/>
      <c r="I63" s="185"/>
      <c r="J63" s="201"/>
      <c r="K63" s="200"/>
      <c r="L63" s="200"/>
      <c r="M63" s="201"/>
      <c r="N63" s="201"/>
      <c r="P63" s="141" t="str">
        <f t="shared" si="4"/>
        <v/>
      </c>
      <c r="Q63" s="141" t="str">
        <f t="shared" si="5"/>
        <v/>
      </c>
      <c r="U63" s="141">
        <v>3694</v>
      </c>
      <c r="V63" s="141" t="s">
        <v>183</v>
      </c>
      <c r="X63" s="141" t="str">
        <f t="shared" si="6"/>
        <v>36</v>
      </c>
      <c r="Y63" s="141" t="str">
        <f t="shared" si="7"/>
        <v>369</v>
      </c>
      <c r="AA63" s="141" t="s">
        <v>1612</v>
      </c>
      <c r="AB63" s="141" t="s">
        <v>1613</v>
      </c>
    </row>
    <row r="64" spans="1:28">
      <c r="A64" s="151"/>
      <c r="B64" s="146" t="str">
        <f t="shared" si="1"/>
        <v/>
      </c>
      <c r="C64" s="151"/>
      <c r="D64" s="146" t="str">
        <f t="shared" si="2"/>
        <v/>
      </c>
      <c r="E64" s="186"/>
      <c r="F64" s="146" t="str">
        <f t="shared" si="3"/>
        <v/>
      </c>
      <c r="G64" s="185"/>
      <c r="H64" s="185"/>
      <c r="I64" s="185"/>
      <c r="J64" s="201"/>
      <c r="K64" s="200"/>
      <c r="L64" s="200"/>
      <c r="M64" s="201"/>
      <c r="N64" s="201"/>
      <c r="P64" s="141" t="str">
        <f t="shared" si="4"/>
        <v/>
      </c>
      <c r="Q64" s="141" t="str">
        <f t="shared" si="5"/>
        <v/>
      </c>
      <c r="U64" s="141">
        <v>3711</v>
      </c>
      <c r="V64" s="141" t="s">
        <v>130</v>
      </c>
      <c r="X64" s="141" t="str">
        <f t="shared" si="6"/>
        <v>37</v>
      </c>
      <c r="Y64" s="141" t="str">
        <f t="shared" si="7"/>
        <v>371</v>
      </c>
      <c r="AA64" s="141" t="s">
        <v>1614</v>
      </c>
      <c r="AB64" s="141" t="s">
        <v>1615</v>
      </c>
    </row>
    <row r="65" spans="1:28">
      <c r="A65" s="151"/>
      <c r="B65" s="146" t="str">
        <f t="shared" si="1"/>
        <v/>
      </c>
      <c r="C65" s="151"/>
      <c r="D65" s="146" t="str">
        <f t="shared" si="2"/>
        <v/>
      </c>
      <c r="E65" s="186"/>
      <c r="F65" s="146" t="str">
        <f t="shared" si="3"/>
        <v/>
      </c>
      <c r="G65" s="185"/>
      <c r="H65" s="185"/>
      <c r="I65" s="185"/>
      <c r="J65" s="201"/>
      <c r="K65" s="200"/>
      <c r="L65" s="200"/>
      <c r="M65" s="201"/>
      <c r="N65" s="201"/>
      <c r="P65" s="141" t="str">
        <f t="shared" si="4"/>
        <v/>
      </c>
      <c r="Q65" s="141" t="str">
        <f t="shared" si="5"/>
        <v/>
      </c>
      <c r="U65" s="141">
        <v>3712</v>
      </c>
      <c r="V65" s="141" t="s">
        <v>148</v>
      </c>
      <c r="X65" s="141" t="str">
        <f t="shared" si="6"/>
        <v>37</v>
      </c>
      <c r="Y65" s="141" t="str">
        <f t="shared" si="7"/>
        <v>371</v>
      </c>
      <c r="AA65" s="141" t="s">
        <v>1616</v>
      </c>
      <c r="AB65" s="141" t="s">
        <v>1617</v>
      </c>
    </row>
    <row r="66" spans="1:28">
      <c r="A66" s="151"/>
      <c r="B66" s="146" t="str">
        <f t="shared" si="1"/>
        <v/>
      </c>
      <c r="C66" s="151"/>
      <c r="D66" s="146" t="str">
        <f t="shared" si="2"/>
        <v/>
      </c>
      <c r="E66" s="186"/>
      <c r="F66" s="146" t="str">
        <f t="shared" si="3"/>
        <v/>
      </c>
      <c r="G66" s="185"/>
      <c r="H66" s="185"/>
      <c r="I66" s="185"/>
      <c r="J66" s="201"/>
      <c r="K66" s="200"/>
      <c r="L66" s="200"/>
      <c r="M66" s="201"/>
      <c r="N66" s="201"/>
      <c r="P66" s="141" t="str">
        <f t="shared" si="4"/>
        <v/>
      </c>
      <c r="Q66" s="141" t="str">
        <f t="shared" si="5"/>
        <v/>
      </c>
      <c r="U66" s="141">
        <v>3713</v>
      </c>
      <c r="V66" s="141" t="s">
        <v>175</v>
      </c>
      <c r="X66" s="141" t="str">
        <f t="shared" si="6"/>
        <v>37</v>
      </c>
      <c r="Y66" s="141" t="str">
        <f t="shared" si="7"/>
        <v>371</v>
      </c>
      <c r="AA66" s="141" t="s">
        <v>846</v>
      </c>
      <c r="AB66" s="141" t="s">
        <v>847</v>
      </c>
    </row>
    <row r="67" spans="1:28">
      <c r="A67" s="151"/>
      <c r="B67" s="146" t="str">
        <f t="shared" si="1"/>
        <v/>
      </c>
      <c r="C67" s="151"/>
      <c r="D67" s="146" t="str">
        <f t="shared" si="2"/>
        <v/>
      </c>
      <c r="E67" s="186"/>
      <c r="F67" s="146" t="str">
        <f t="shared" si="3"/>
        <v/>
      </c>
      <c r="G67" s="185"/>
      <c r="H67" s="185"/>
      <c r="I67" s="185"/>
      <c r="J67" s="201"/>
      <c r="K67" s="200"/>
      <c r="L67" s="200"/>
      <c r="M67" s="201"/>
      <c r="N67" s="201"/>
      <c r="P67" s="141" t="str">
        <f t="shared" si="4"/>
        <v/>
      </c>
      <c r="Q67" s="141" t="str">
        <f t="shared" si="5"/>
        <v/>
      </c>
      <c r="U67" s="141">
        <v>3714</v>
      </c>
      <c r="V67" s="141" t="s">
        <v>196</v>
      </c>
      <c r="X67" s="141" t="str">
        <f t="shared" si="6"/>
        <v>37</v>
      </c>
      <c r="Y67" s="141" t="str">
        <f t="shared" si="7"/>
        <v>371</v>
      </c>
      <c r="AA67" s="141" t="s">
        <v>848</v>
      </c>
      <c r="AB67" s="141" t="s">
        <v>849</v>
      </c>
    </row>
    <row r="68" spans="1:28">
      <c r="A68" s="151"/>
      <c r="B68" s="146" t="str">
        <f t="shared" ref="B68:B131" si="8">IFERROR(VLOOKUP(A68,$R$6:$S$23,2,FALSE),"")</f>
        <v/>
      </c>
      <c r="C68" s="151"/>
      <c r="D68" s="146" t="str">
        <f t="shared" ref="D68:D131" si="9">IFERROR(VLOOKUP(C68,$U$5:$W$129,2,FALSE),"")</f>
        <v/>
      </c>
      <c r="E68" s="186"/>
      <c r="F68" s="146" t="str">
        <f t="shared" ref="F68:F131" si="10">IFERROR(VLOOKUP(E68,$AA$5:$AB$500,2,FALSE),"")</f>
        <v/>
      </c>
      <c r="G68" s="185"/>
      <c r="H68" s="185"/>
      <c r="I68" s="185"/>
      <c r="J68" s="201"/>
      <c r="K68" s="200"/>
      <c r="L68" s="200"/>
      <c r="M68" s="201"/>
      <c r="N68" s="201"/>
      <c r="P68" s="141" t="str">
        <f t="shared" ref="P68:P131" si="11">LEFT(C68,3)</f>
        <v/>
      </c>
      <c r="Q68" s="141" t="str">
        <f t="shared" ref="Q68:Q131" si="12">LEFT(C68,2)</f>
        <v/>
      </c>
      <c r="U68" s="141">
        <v>3715</v>
      </c>
      <c r="V68" s="141" t="s">
        <v>134</v>
      </c>
      <c r="X68" s="141" t="str">
        <f t="shared" si="6"/>
        <v>37</v>
      </c>
      <c r="Y68" s="141" t="str">
        <f t="shared" si="7"/>
        <v>371</v>
      </c>
      <c r="AA68" s="141" t="s">
        <v>850</v>
      </c>
      <c r="AB68" s="141" t="s">
        <v>851</v>
      </c>
    </row>
    <row r="69" spans="1:28">
      <c r="A69" s="151"/>
      <c r="B69" s="146" t="str">
        <f t="shared" si="8"/>
        <v/>
      </c>
      <c r="C69" s="151"/>
      <c r="D69" s="146" t="str">
        <f t="shared" si="9"/>
        <v/>
      </c>
      <c r="E69" s="186"/>
      <c r="F69" s="146" t="str">
        <f t="shared" si="10"/>
        <v/>
      </c>
      <c r="G69" s="185"/>
      <c r="H69" s="185"/>
      <c r="I69" s="185"/>
      <c r="J69" s="201"/>
      <c r="K69" s="200"/>
      <c r="L69" s="200"/>
      <c r="M69" s="201"/>
      <c r="N69" s="201"/>
      <c r="P69" s="141" t="str">
        <f t="shared" si="11"/>
        <v/>
      </c>
      <c r="Q69" s="141" t="str">
        <f t="shared" si="12"/>
        <v/>
      </c>
      <c r="U69" s="141">
        <v>3721</v>
      </c>
      <c r="V69" s="141" t="s">
        <v>72</v>
      </c>
      <c r="X69" s="141" t="str">
        <f t="shared" ref="X69:X129" si="13">LEFT(U69,2)</f>
        <v>37</v>
      </c>
      <c r="Y69" s="141" t="str">
        <f t="shared" si="7"/>
        <v>372</v>
      </c>
      <c r="AA69" s="141" t="s">
        <v>852</v>
      </c>
      <c r="AB69" s="141" t="s">
        <v>853</v>
      </c>
    </row>
    <row r="70" spans="1:28">
      <c r="A70" s="151"/>
      <c r="B70" s="146" t="str">
        <f t="shared" si="8"/>
        <v/>
      </c>
      <c r="C70" s="151"/>
      <c r="D70" s="146" t="str">
        <f t="shared" si="9"/>
        <v/>
      </c>
      <c r="E70" s="186"/>
      <c r="F70" s="146" t="str">
        <f t="shared" si="10"/>
        <v/>
      </c>
      <c r="G70" s="185"/>
      <c r="H70" s="185"/>
      <c r="I70" s="185"/>
      <c r="J70" s="201"/>
      <c r="K70" s="200"/>
      <c r="L70" s="200"/>
      <c r="M70" s="201"/>
      <c r="N70" s="201"/>
      <c r="P70" s="141" t="str">
        <f t="shared" si="11"/>
        <v/>
      </c>
      <c r="Q70" s="141" t="str">
        <f t="shared" si="12"/>
        <v/>
      </c>
      <c r="U70" s="141">
        <v>3722</v>
      </c>
      <c r="V70" s="141" t="s">
        <v>157</v>
      </c>
      <c r="X70" s="141" t="str">
        <f t="shared" si="13"/>
        <v>37</v>
      </c>
      <c r="Y70" s="141" t="str">
        <f t="shared" ref="Y70:Y129" si="14">LEFT(U70,3)</f>
        <v>372</v>
      </c>
      <c r="AA70" s="141" t="s">
        <v>854</v>
      </c>
      <c r="AB70" s="141" t="s">
        <v>855</v>
      </c>
    </row>
    <row r="71" spans="1:28">
      <c r="A71" s="151"/>
      <c r="B71" s="146" t="str">
        <f t="shared" si="8"/>
        <v/>
      </c>
      <c r="C71" s="151"/>
      <c r="D71" s="146" t="str">
        <f t="shared" si="9"/>
        <v/>
      </c>
      <c r="E71" s="186"/>
      <c r="F71" s="146" t="str">
        <f t="shared" si="10"/>
        <v/>
      </c>
      <c r="G71" s="185"/>
      <c r="H71" s="185"/>
      <c r="I71" s="185"/>
      <c r="J71" s="201"/>
      <c r="K71" s="200"/>
      <c r="L71" s="200"/>
      <c r="M71" s="201"/>
      <c r="N71" s="201"/>
      <c r="P71" s="141" t="str">
        <f t="shared" si="11"/>
        <v/>
      </c>
      <c r="Q71" s="141" t="str">
        <f t="shared" si="12"/>
        <v/>
      </c>
      <c r="U71" s="141">
        <v>3723</v>
      </c>
      <c r="V71" s="141" t="s">
        <v>112</v>
      </c>
      <c r="X71" s="141" t="str">
        <f t="shared" si="13"/>
        <v>37</v>
      </c>
      <c r="Y71" s="141" t="str">
        <f t="shared" si="14"/>
        <v>372</v>
      </c>
      <c r="AA71" s="141" t="s">
        <v>856</v>
      </c>
      <c r="AB71" s="141" t="s">
        <v>857</v>
      </c>
    </row>
    <row r="72" spans="1:28">
      <c r="A72" s="151"/>
      <c r="B72" s="146" t="str">
        <f t="shared" si="8"/>
        <v/>
      </c>
      <c r="C72" s="151"/>
      <c r="D72" s="146" t="str">
        <f t="shared" si="9"/>
        <v/>
      </c>
      <c r="E72" s="186"/>
      <c r="F72" s="146" t="str">
        <f t="shared" si="10"/>
        <v/>
      </c>
      <c r="G72" s="185"/>
      <c r="H72" s="185"/>
      <c r="I72" s="185"/>
      <c r="J72" s="201"/>
      <c r="K72" s="200"/>
      <c r="L72" s="200"/>
      <c r="M72" s="201"/>
      <c r="N72" s="201"/>
      <c r="P72" s="141" t="str">
        <f t="shared" si="11"/>
        <v/>
      </c>
      <c r="Q72" s="141" t="str">
        <f t="shared" si="12"/>
        <v/>
      </c>
      <c r="U72" s="141">
        <v>3811</v>
      </c>
      <c r="V72" s="141" t="s">
        <v>62</v>
      </c>
      <c r="X72" s="141" t="str">
        <f t="shared" si="13"/>
        <v>38</v>
      </c>
      <c r="Y72" s="141" t="str">
        <f t="shared" si="14"/>
        <v>381</v>
      </c>
      <c r="AA72" s="141" t="s">
        <v>858</v>
      </c>
      <c r="AB72" s="141" t="s">
        <v>859</v>
      </c>
    </row>
    <row r="73" spans="1:28">
      <c r="A73" s="151"/>
      <c r="B73" s="146" t="str">
        <f t="shared" si="8"/>
        <v/>
      </c>
      <c r="C73" s="151"/>
      <c r="D73" s="146" t="str">
        <f t="shared" si="9"/>
        <v/>
      </c>
      <c r="E73" s="186"/>
      <c r="F73" s="146" t="str">
        <f t="shared" si="10"/>
        <v/>
      </c>
      <c r="G73" s="185"/>
      <c r="H73" s="185"/>
      <c r="I73" s="185"/>
      <c r="J73" s="201"/>
      <c r="K73" s="200"/>
      <c r="L73" s="200"/>
      <c r="M73" s="201"/>
      <c r="N73" s="201"/>
      <c r="P73" s="141" t="str">
        <f t="shared" si="11"/>
        <v/>
      </c>
      <c r="Q73" s="141" t="str">
        <f t="shared" si="12"/>
        <v/>
      </c>
      <c r="U73" s="141">
        <v>3812</v>
      </c>
      <c r="V73" s="141" t="s">
        <v>158</v>
      </c>
      <c r="X73" s="141" t="str">
        <f t="shared" si="13"/>
        <v>38</v>
      </c>
      <c r="Y73" s="141" t="str">
        <f t="shared" si="14"/>
        <v>381</v>
      </c>
      <c r="AA73" s="141" t="s">
        <v>860</v>
      </c>
      <c r="AB73" s="141" t="s">
        <v>861</v>
      </c>
    </row>
    <row r="74" spans="1:28">
      <c r="A74" s="151"/>
      <c r="B74" s="146" t="str">
        <f t="shared" si="8"/>
        <v/>
      </c>
      <c r="C74" s="151"/>
      <c r="D74" s="146" t="str">
        <f t="shared" si="9"/>
        <v/>
      </c>
      <c r="E74" s="186"/>
      <c r="F74" s="146" t="str">
        <f t="shared" si="10"/>
        <v/>
      </c>
      <c r="G74" s="185"/>
      <c r="H74" s="185"/>
      <c r="I74" s="185"/>
      <c r="J74" s="201"/>
      <c r="K74" s="200"/>
      <c r="L74" s="200"/>
      <c r="M74" s="201"/>
      <c r="N74" s="201"/>
      <c r="P74" s="141" t="str">
        <f t="shared" si="11"/>
        <v/>
      </c>
      <c r="Q74" s="141" t="str">
        <f t="shared" si="12"/>
        <v/>
      </c>
      <c r="U74" s="141">
        <v>3813</v>
      </c>
      <c r="V74" s="141" t="s">
        <v>101</v>
      </c>
      <c r="X74" s="141" t="str">
        <f t="shared" si="13"/>
        <v>38</v>
      </c>
      <c r="Y74" s="141" t="str">
        <f t="shared" si="14"/>
        <v>381</v>
      </c>
      <c r="AA74" s="141" t="s">
        <v>862</v>
      </c>
      <c r="AB74" s="141" t="s">
        <v>863</v>
      </c>
    </row>
    <row r="75" spans="1:28">
      <c r="A75" s="151"/>
      <c r="B75" s="146" t="str">
        <f t="shared" si="8"/>
        <v/>
      </c>
      <c r="C75" s="151"/>
      <c r="D75" s="146" t="str">
        <f t="shared" si="9"/>
        <v/>
      </c>
      <c r="E75" s="186"/>
      <c r="F75" s="146" t="str">
        <f t="shared" si="10"/>
        <v/>
      </c>
      <c r="G75" s="185"/>
      <c r="H75" s="185"/>
      <c r="I75" s="185"/>
      <c r="J75" s="201"/>
      <c r="K75" s="200"/>
      <c r="L75" s="200"/>
      <c r="M75" s="201"/>
      <c r="N75" s="201"/>
      <c r="P75" s="141" t="str">
        <f t="shared" si="11"/>
        <v/>
      </c>
      <c r="Q75" s="141" t="str">
        <f t="shared" si="12"/>
        <v/>
      </c>
      <c r="U75" s="141">
        <v>3821</v>
      </c>
      <c r="V75" s="141" t="s">
        <v>176</v>
      </c>
      <c r="X75" s="141" t="str">
        <f t="shared" si="13"/>
        <v>38</v>
      </c>
      <c r="Y75" s="141" t="str">
        <f t="shared" si="14"/>
        <v>382</v>
      </c>
      <c r="AA75" s="141" t="s">
        <v>864</v>
      </c>
      <c r="AB75" s="141" t="s">
        <v>865</v>
      </c>
    </row>
    <row r="76" spans="1:28">
      <c r="A76" s="151"/>
      <c r="B76" s="146" t="str">
        <f t="shared" si="8"/>
        <v/>
      </c>
      <c r="C76" s="151"/>
      <c r="D76" s="146" t="str">
        <f t="shared" si="9"/>
        <v/>
      </c>
      <c r="E76" s="186"/>
      <c r="F76" s="146" t="str">
        <f t="shared" si="10"/>
        <v/>
      </c>
      <c r="G76" s="185"/>
      <c r="H76" s="185"/>
      <c r="I76" s="185"/>
      <c r="J76" s="201"/>
      <c r="K76" s="200"/>
      <c r="L76" s="200"/>
      <c r="M76" s="201"/>
      <c r="N76" s="201"/>
      <c r="P76" s="141" t="str">
        <f t="shared" si="11"/>
        <v/>
      </c>
      <c r="Q76" s="141" t="str">
        <f t="shared" si="12"/>
        <v/>
      </c>
      <c r="U76" s="141">
        <v>3831</v>
      </c>
      <c r="V76" s="141" t="s">
        <v>159</v>
      </c>
      <c r="X76" s="141" t="str">
        <f t="shared" si="13"/>
        <v>38</v>
      </c>
      <c r="Y76" s="141" t="str">
        <f t="shared" si="14"/>
        <v>383</v>
      </c>
      <c r="AA76" s="141" t="s">
        <v>866</v>
      </c>
      <c r="AB76" s="141" t="s">
        <v>867</v>
      </c>
    </row>
    <row r="77" spans="1:28">
      <c r="A77" s="151"/>
      <c r="B77" s="146" t="str">
        <f t="shared" si="8"/>
        <v/>
      </c>
      <c r="C77" s="151"/>
      <c r="D77" s="146" t="str">
        <f t="shared" si="9"/>
        <v/>
      </c>
      <c r="E77" s="186"/>
      <c r="F77" s="146" t="str">
        <f t="shared" si="10"/>
        <v/>
      </c>
      <c r="G77" s="185"/>
      <c r="H77" s="185"/>
      <c r="I77" s="185"/>
      <c r="J77" s="201"/>
      <c r="K77" s="200"/>
      <c r="L77" s="200"/>
      <c r="M77" s="201"/>
      <c r="N77" s="201"/>
      <c r="P77" s="141" t="str">
        <f t="shared" si="11"/>
        <v/>
      </c>
      <c r="Q77" s="141" t="str">
        <f t="shared" si="12"/>
        <v/>
      </c>
      <c r="U77" s="141">
        <v>3832</v>
      </c>
      <c r="V77" s="141" t="s">
        <v>199</v>
      </c>
      <c r="X77" s="141" t="str">
        <f t="shared" si="13"/>
        <v>38</v>
      </c>
      <c r="Y77" s="141" t="str">
        <f t="shared" si="14"/>
        <v>383</v>
      </c>
      <c r="AA77" s="141" t="s">
        <v>868</v>
      </c>
      <c r="AB77" s="141" t="s">
        <v>869</v>
      </c>
    </row>
    <row r="78" spans="1:28">
      <c r="A78" s="151"/>
      <c r="B78" s="146" t="str">
        <f t="shared" si="8"/>
        <v/>
      </c>
      <c r="C78" s="151"/>
      <c r="D78" s="146" t="str">
        <f t="shared" si="9"/>
        <v/>
      </c>
      <c r="E78" s="186"/>
      <c r="F78" s="146" t="str">
        <f t="shared" si="10"/>
        <v/>
      </c>
      <c r="G78" s="185"/>
      <c r="H78" s="185"/>
      <c r="I78" s="185"/>
      <c r="J78" s="201"/>
      <c r="K78" s="200"/>
      <c r="L78" s="200"/>
      <c r="M78" s="201"/>
      <c r="N78" s="201"/>
      <c r="P78" s="141" t="str">
        <f t="shared" si="11"/>
        <v/>
      </c>
      <c r="Q78" s="141" t="str">
        <f t="shared" si="12"/>
        <v/>
      </c>
      <c r="U78" s="141">
        <v>3833</v>
      </c>
      <c r="V78" s="141" t="s">
        <v>160</v>
      </c>
      <c r="X78" s="141" t="str">
        <f t="shared" si="13"/>
        <v>38</v>
      </c>
      <c r="Y78" s="141" t="str">
        <f t="shared" si="14"/>
        <v>383</v>
      </c>
      <c r="AA78" s="141" t="s">
        <v>870</v>
      </c>
      <c r="AB78" s="141" t="s">
        <v>871</v>
      </c>
    </row>
    <row r="79" spans="1:28">
      <c r="A79" s="151"/>
      <c r="B79" s="146" t="str">
        <f t="shared" si="8"/>
        <v/>
      </c>
      <c r="C79" s="151"/>
      <c r="D79" s="146" t="str">
        <f t="shared" si="9"/>
        <v/>
      </c>
      <c r="E79" s="186"/>
      <c r="F79" s="146" t="str">
        <f t="shared" si="10"/>
        <v/>
      </c>
      <c r="G79" s="185"/>
      <c r="H79" s="185"/>
      <c r="I79" s="185"/>
      <c r="J79" s="201"/>
      <c r="K79" s="200"/>
      <c r="L79" s="200"/>
      <c r="M79" s="201"/>
      <c r="N79" s="201"/>
      <c r="P79" s="141" t="str">
        <f t="shared" si="11"/>
        <v/>
      </c>
      <c r="Q79" s="141" t="str">
        <f t="shared" si="12"/>
        <v/>
      </c>
      <c r="U79" s="141">
        <v>3834</v>
      </c>
      <c r="V79" s="141" t="s">
        <v>161</v>
      </c>
      <c r="X79" s="141" t="str">
        <f t="shared" si="13"/>
        <v>38</v>
      </c>
      <c r="Y79" s="141" t="str">
        <f t="shared" si="14"/>
        <v>383</v>
      </c>
      <c r="AA79" s="141" t="s">
        <v>872</v>
      </c>
      <c r="AB79" s="141" t="s">
        <v>873</v>
      </c>
    </row>
    <row r="80" spans="1:28">
      <c r="A80" s="151"/>
      <c r="B80" s="146" t="str">
        <f t="shared" si="8"/>
        <v/>
      </c>
      <c r="C80" s="151"/>
      <c r="D80" s="146" t="str">
        <f t="shared" si="9"/>
        <v/>
      </c>
      <c r="E80" s="186"/>
      <c r="F80" s="146" t="str">
        <f t="shared" si="10"/>
        <v/>
      </c>
      <c r="G80" s="185"/>
      <c r="H80" s="185"/>
      <c r="I80" s="185"/>
      <c r="J80" s="201"/>
      <c r="K80" s="200"/>
      <c r="L80" s="200"/>
      <c r="M80" s="201"/>
      <c r="N80" s="201"/>
      <c r="P80" s="141" t="str">
        <f t="shared" si="11"/>
        <v/>
      </c>
      <c r="Q80" s="141" t="str">
        <f t="shared" si="12"/>
        <v/>
      </c>
      <c r="U80" s="141">
        <v>3835</v>
      </c>
      <c r="V80" s="141" t="s">
        <v>162</v>
      </c>
      <c r="X80" s="141" t="str">
        <f t="shared" si="13"/>
        <v>38</v>
      </c>
      <c r="Y80" s="141" t="str">
        <f t="shared" si="14"/>
        <v>383</v>
      </c>
      <c r="AA80" s="141" t="s">
        <v>874</v>
      </c>
      <c r="AB80" s="141" t="s">
        <v>875</v>
      </c>
    </row>
    <row r="81" spans="1:28">
      <c r="A81" s="151"/>
      <c r="B81" s="146" t="str">
        <f t="shared" si="8"/>
        <v/>
      </c>
      <c r="C81" s="151"/>
      <c r="D81" s="146" t="str">
        <f t="shared" si="9"/>
        <v/>
      </c>
      <c r="E81" s="186"/>
      <c r="F81" s="146" t="str">
        <f t="shared" si="10"/>
        <v/>
      </c>
      <c r="G81" s="185"/>
      <c r="H81" s="185"/>
      <c r="I81" s="185"/>
      <c r="J81" s="201"/>
      <c r="K81" s="200"/>
      <c r="L81" s="200"/>
      <c r="M81" s="201"/>
      <c r="N81" s="201"/>
      <c r="P81" s="141" t="str">
        <f t="shared" si="11"/>
        <v/>
      </c>
      <c r="Q81" s="141" t="str">
        <f t="shared" si="12"/>
        <v/>
      </c>
      <c r="U81" s="197">
        <v>3861</v>
      </c>
      <c r="V81" s="198" t="s">
        <v>788</v>
      </c>
      <c r="W81" s="197"/>
      <c r="X81" s="197" t="str">
        <f t="shared" si="13"/>
        <v>38</v>
      </c>
      <c r="Y81" s="197" t="str">
        <f t="shared" si="14"/>
        <v>386</v>
      </c>
      <c r="AA81" s="141" t="s">
        <v>876</v>
      </c>
      <c r="AB81" s="141" t="s">
        <v>877</v>
      </c>
    </row>
    <row r="82" spans="1:28">
      <c r="A82" s="151"/>
      <c r="B82" s="146" t="str">
        <f t="shared" si="8"/>
        <v/>
      </c>
      <c r="C82" s="151"/>
      <c r="D82" s="146" t="str">
        <f t="shared" si="9"/>
        <v/>
      </c>
      <c r="E82" s="186"/>
      <c r="F82" s="146" t="str">
        <f t="shared" si="10"/>
        <v/>
      </c>
      <c r="G82" s="185"/>
      <c r="H82" s="185"/>
      <c r="I82" s="185"/>
      <c r="J82" s="201"/>
      <c r="K82" s="200"/>
      <c r="L82" s="200"/>
      <c r="M82" s="201"/>
      <c r="N82" s="201"/>
      <c r="P82" s="141" t="str">
        <f t="shared" si="11"/>
        <v/>
      </c>
      <c r="Q82" s="141" t="str">
        <f t="shared" si="12"/>
        <v/>
      </c>
      <c r="U82" s="196">
        <v>3862</v>
      </c>
      <c r="V82" s="141" t="s">
        <v>789</v>
      </c>
      <c r="X82" s="141" t="str">
        <f t="shared" si="13"/>
        <v>38</v>
      </c>
      <c r="Y82" s="141" t="str">
        <f t="shared" si="14"/>
        <v>386</v>
      </c>
      <c r="AA82" s="141" t="s">
        <v>878</v>
      </c>
      <c r="AB82" s="141" t="s">
        <v>879</v>
      </c>
    </row>
    <row r="83" spans="1:28">
      <c r="A83" s="151"/>
      <c r="B83" s="146" t="str">
        <f t="shared" si="8"/>
        <v/>
      </c>
      <c r="C83" s="151"/>
      <c r="D83" s="146" t="str">
        <f t="shared" si="9"/>
        <v/>
      </c>
      <c r="E83" s="186"/>
      <c r="F83" s="146" t="str">
        <f t="shared" si="10"/>
        <v/>
      </c>
      <c r="G83" s="185"/>
      <c r="H83" s="185"/>
      <c r="I83" s="185"/>
      <c r="J83" s="201"/>
      <c r="K83" s="200"/>
      <c r="L83" s="200"/>
      <c r="M83" s="201"/>
      <c r="N83" s="201"/>
      <c r="P83" s="141" t="str">
        <f t="shared" si="11"/>
        <v/>
      </c>
      <c r="Q83" s="141" t="str">
        <f t="shared" si="12"/>
        <v/>
      </c>
      <c r="U83" s="196">
        <v>3863</v>
      </c>
      <c r="V83" s="141" t="s">
        <v>790</v>
      </c>
      <c r="X83" s="141" t="str">
        <f t="shared" si="13"/>
        <v>38</v>
      </c>
      <c r="Y83" s="141" t="str">
        <f t="shared" si="14"/>
        <v>386</v>
      </c>
      <c r="AA83" s="141" t="s">
        <v>880</v>
      </c>
      <c r="AB83" s="141" t="s">
        <v>881</v>
      </c>
    </row>
    <row r="84" spans="1:28">
      <c r="A84" s="151"/>
      <c r="B84" s="146" t="str">
        <f t="shared" si="8"/>
        <v/>
      </c>
      <c r="C84" s="151"/>
      <c r="D84" s="146" t="str">
        <f t="shared" si="9"/>
        <v/>
      </c>
      <c r="E84" s="186"/>
      <c r="F84" s="146" t="str">
        <f t="shared" si="10"/>
        <v/>
      </c>
      <c r="G84" s="185"/>
      <c r="H84" s="185"/>
      <c r="I84" s="185"/>
      <c r="J84" s="201"/>
      <c r="K84" s="200"/>
      <c r="L84" s="200"/>
      <c r="M84" s="201"/>
      <c r="N84" s="201"/>
      <c r="P84" s="141" t="str">
        <f t="shared" si="11"/>
        <v/>
      </c>
      <c r="Q84" s="141" t="str">
        <f t="shared" si="12"/>
        <v/>
      </c>
      <c r="U84" s="141">
        <v>4111</v>
      </c>
      <c r="V84" s="141" t="s">
        <v>163</v>
      </c>
      <c r="X84" s="141" t="str">
        <f t="shared" si="13"/>
        <v>41</v>
      </c>
      <c r="Y84" s="141" t="str">
        <f t="shared" si="14"/>
        <v>411</v>
      </c>
      <c r="AA84" s="141" t="s">
        <v>882</v>
      </c>
      <c r="AB84" s="141" t="s">
        <v>883</v>
      </c>
    </row>
    <row r="85" spans="1:28">
      <c r="A85" s="151"/>
      <c r="B85" s="146" t="str">
        <f t="shared" si="8"/>
        <v/>
      </c>
      <c r="C85" s="151"/>
      <c r="D85" s="146" t="str">
        <f t="shared" si="9"/>
        <v/>
      </c>
      <c r="E85" s="186"/>
      <c r="F85" s="146" t="str">
        <f t="shared" si="10"/>
        <v/>
      </c>
      <c r="G85" s="185"/>
      <c r="H85" s="185"/>
      <c r="I85" s="185"/>
      <c r="J85" s="201"/>
      <c r="K85" s="200"/>
      <c r="L85" s="200"/>
      <c r="M85" s="201"/>
      <c r="N85" s="201"/>
      <c r="P85" s="141" t="str">
        <f t="shared" si="11"/>
        <v/>
      </c>
      <c r="Q85" s="141" t="str">
        <f t="shared" si="12"/>
        <v/>
      </c>
      <c r="U85" s="141">
        <v>4113</v>
      </c>
      <c r="V85" s="141" t="s">
        <v>197</v>
      </c>
      <c r="X85" s="141" t="str">
        <f t="shared" si="13"/>
        <v>41</v>
      </c>
      <c r="Y85" s="141" t="str">
        <f t="shared" si="14"/>
        <v>411</v>
      </c>
      <c r="AA85" s="141" t="s">
        <v>884</v>
      </c>
      <c r="AB85" s="141" t="s">
        <v>885</v>
      </c>
    </row>
    <row r="86" spans="1:28">
      <c r="A86" s="151"/>
      <c r="B86" s="146" t="str">
        <f t="shared" si="8"/>
        <v/>
      </c>
      <c r="C86" s="151"/>
      <c r="D86" s="146" t="str">
        <f t="shared" si="9"/>
        <v/>
      </c>
      <c r="E86" s="186"/>
      <c r="F86" s="146" t="str">
        <f t="shared" si="10"/>
        <v/>
      </c>
      <c r="G86" s="185"/>
      <c r="H86" s="185"/>
      <c r="I86" s="185"/>
      <c r="J86" s="201"/>
      <c r="K86" s="200"/>
      <c r="L86" s="200"/>
      <c r="M86" s="201"/>
      <c r="N86" s="201"/>
      <c r="P86" s="141" t="str">
        <f t="shared" si="11"/>
        <v/>
      </c>
      <c r="Q86" s="141" t="str">
        <f t="shared" si="12"/>
        <v/>
      </c>
      <c r="U86" s="141">
        <v>4122</v>
      </c>
      <c r="V86" s="141" t="s">
        <v>164</v>
      </c>
      <c r="X86" s="141" t="str">
        <f t="shared" si="13"/>
        <v>41</v>
      </c>
      <c r="Y86" s="141" t="str">
        <f t="shared" si="14"/>
        <v>412</v>
      </c>
      <c r="AA86" s="141" t="s">
        <v>886</v>
      </c>
      <c r="AB86" s="141" t="s">
        <v>887</v>
      </c>
    </row>
    <row r="87" spans="1:28">
      <c r="A87" s="151"/>
      <c r="B87" s="146" t="str">
        <f t="shared" si="8"/>
        <v/>
      </c>
      <c r="C87" s="151"/>
      <c r="D87" s="146" t="str">
        <f t="shared" si="9"/>
        <v/>
      </c>
      <c r="E87" s="186"/>
      <c r="F87" s="146" t="str">
        <f t="shared" si="10"/>
        <v/>
      </c>
      <c r="G87" s="185"/>
      <c r="H87" s="185"/>
      <c r="I87" s="185"/>
      <c r="J87" s="201"/>
      <c r="K87" s="200"/>
      <c r="L87" s="200"/>
      <c r="M87" s="201"/>
      <c r="N87" s="201"/>
      <c r="P87" s="141" t="str">
        <f t="shared" si="11"/>
        <v/>
      </c>
      <c r="Q87" s="141" t="str">
        <f t="shared" si="12"/>
        <v/>
      </c>
      <c r="U87" s="141">
        <v>4123</v>
      </c>
      <c r="V87" s="141" t="s">
        <v>135</v>
      </c>
      <c r="X87" s="141" t="str">
        <f t="shared" si="13"/>
        <v>41</v>
      </c>
      <c r="Y87" s="141" t="str">
        <f t="shared" si="14"/>
        <v>412</v>
      </c>
      <c r="AA87" s="141" t="s">
        <v>888</v>
      </c>
      <c r="AB87" s="141" t="s">
        <v>889</v>
      </c>
    </row>
    <row r="88" spans="1:28">
      <c r="A88" s="151"/>
      <c r="B88" s="146" t="str">
        <f t="shared" si="8"/>
        <v/>
      </c>
      <c r="C88" s="151"/>
      <c r="D88" s="146" t="str">
        <f t="shared" si="9"/>
        <v/>
      </c>
      <c r="E88" s="186"/>
      <c r="F88" s="146" t="str">
        <f t="shared" si="10"/>
        <v/>
      </c>
      <c r="G88" s="185"/>
      <c r="H88" s="185"/>
      <c r="I88" s="185"/>
      <c r="J88" s="201"/>
      <c r="K88" s="200"/>
      <c r="L88" s="200"/>
      <c r="M88" s="201"/>
      <c r="N88" s="201"/>
      <c r="P88" s="141" t="str">
        <f t="shared" si="11"/>
        <v/>
      </c>
      <c r="Q88" s="141" t="str">
        <f t="shared" si="12"/>
        <v/>
      </c>
      <c r="U88" s="141">
        <v>4124</v>
      </c>
      <c r="V88" s="141" t="s">
        <v>121</v>
      </c>
      <c r="X88" s="141" t="str">
        <f t="shared" si="13"/>
        <v>41</v>
      </c>
      <c r="Y88" s="141" t="str">
        <f t="shared" si="14"/>
        <v>412</v>
      </c>
      <c r="AA88" s="141" t="s">
        <v>890</v>
      </c>
      <c r="AB88" s="141" t="s">
        <v>891</v>
      </c>
    </row>
    <row r="89" spans="1:28">
      <c r="A89" s="151"/>
      <c r="B89" s="146" t="str">
        <f t="shared" si="8"/>
        <v/>
      </c>
      <c r="C89" s="151"/>
      <c r="D89" s="146" t="str">
        <f t="shared" si="9"/>
        <v/>
      </c>
      <c r="E89" s="186"/>
      <c r="F89" s="146" t="str">
        <f t="shared" si="10"/>
        <v/>
      </c>
      <c r="G89" s="185"/>
      <c r="H89" s="185"/>
      <c r="I89" s="185"/>
      <c r="J89" s="201"/>
      <c r="K89" s="200"/>
      <c r="L89" s="200"/>
      <c r="M89" s="201"/>
      <c r="N89" s="201"/>
      <c r="P89" s="141" t="str">
        <f t="shared" si="11"/>
        <v/>
      </c>
      <c r="Q89" s="141" t="str">
        <f t="shared" si="12"/>
        <v/>
      </c>
      <c r="U89" s="141">
        <v>4126</v>
      </c>
      <c r="V89" s="141" t="s">
        <v>165</v>
      </c>
      <c r="X89" s="141" t="str">
        <f t="shared" si="13"/>
        <v>41</v>
      </c>
      <c r="Y89" s="141" t="str">
        <f t="shared" si="14"/>
        <v>412</v>
      </c>
      <c r="AA89" s="141" t="s">
        <v>1618</v>
      </c>
      <c r="AB89" s="141" t="s">
        <v>1619</v>
      </c>
    </row>
    <row r="90" spans="1:28">
      <c r="A90" s="151"/>
      <c r="B90" s="146" t="str">
        <f t="shared" si="8"/>
        <v/>
      </c>
      <c r="C90" s="151"/>
      <c r="D90" s="146" t="str">
        <f t="shared" si="9"/>
        <v/>
      </c>
      <c r="E90" s="186"/>
      <c r="F90" s="146" t="str">
        <f t="shared" si="10"/>
        <v/>
      </c>
      <c r="G90" s="185"/>
      <c r="H90" s="185"/>
      <c r="I90" s="185"/>
      <c r="J90" s="201"/>
      <c r="K90" s="200"/>
      <c r="L90" s="200"/>
      <c r="M90" s="201"/>
      <c r="N90" s="201"/>
      <c r="P90" s="141" t="str">
        <f t="shared" si="11"/>
        <v/>
      </c>
      <c r="Q90" s="141" t="str">
        <f t="shared" si="12"/>
        <v/>
      </c>
      <c r="U90" s="141">
        <v>4211</v>
      </c>
      <c r="V90" s="141" t="s">
        <v>179</v>
      </c>
      <c r="X90" s="141" t="str">
        <f t="shared" si="13"/>
        <v>42</v>
      </c>
      <c r="Y90" s="141" t="str">
        <f t="shared" si="14"/>
        <v>421</v>
      </c>
      <c r="AA90" s="141" t="s">
        <v>1620</v>
      </c>
      <c r="AB90" s="141" t="s">
        <v>1621</v>
      </c>
    </row>
    <row r="91" spans="1:28">
      <c r="A91" s="151"/>
      <c r="B91" s="146" t="str">
        <f t="shared" si="8"/>
        <v/>
      </c>
      <c r="C91" s="151"/>
      <c r="D91" s="146" t="str">
        <f t="shared" si="9"/>
        <v/>
      </c>
      <c r="E91" s="186"/>
      <c r="F91" s="146" t="str">
        <f t="shared" si="10"/>
        <v/>
      </c>
      <c r="G91" s="185"/>
      <c r="H91" s="185"/>
      <c r="I91" s="185"/>
      <c r="J91" s="201"/>
      <c r="K91" s="200"/>
      <c r="L91" s="200"/>
      <c r="M91" s="201"/>
      <c r="N91" s="201"/>
      <c r="P91" s="141" t="str">
        <f t="shared" si="11"/>
        <v/>
      </c>
      <c r="Q91" s="141" t="str">
        <f t="shared" si="12"/>
        <v/>
      </c>
      <c r="U91" s="141">
        <v>4212</v>
      </c>
      <c r="V91" s="141" t="s">
        <v>67</v>
      </c>
      <c r="X91" s="141" t="str">
        <f t="shared" si="13"/>
        <v>42</v>
      </c>
      <c r="Y91" s="141" t="str">
        <f t="shared" si="14"/>
        <v>421</v>
      </c>
      <c r="AA91" s="141" t="s">
        <v>1622</v>
      </c>
      <c r="AB91" s="141" t="s">
        <v>1623</v>
      </c>
    </row>
    <row r="92" spans="1:28">
      <c r="A92" s="151"/>
      <c r="B92" s="146" t="str">
        <f t="shared" si="8"/>
        <v/>
      </c>
      <c r="C92" s="151"/>
      <c r="D92" s="146" t="str">
        <f t="shared" si="9"/>
        <v/>
      </c>
      <c r="E92" s="186"/>
      <c r="F92" s="146" t="str">
        <f t="shared" si="10"/>
        <v/>
      </c>
      <c r="G92" s="185"/>
      <c r="H92" s="185"/>
      <c r="I92" s="185"/>
      <c r="J92" s="201"/>
      <c r="K92" s="200"/>
      <c r="L92" s="200"/>
      <c r="M92" s="201"/>
      <c r="N92" s="201"/>
      <c r="P92" s="141" t="str">
        <f t="shared" si="11"/>
        <v/>
      </c>
      <c r="Q92" s="141" t="str">
        <f t="shared" si="12"/>
        <v/>
      </c>
      <c r="U92" s="141">
        <v>4213</v>
      </c>
      <c r="V92" s="141" t="s">
        <v>166</v>
      </c>
      <c r="X92" s="141" t="str">
        <f t="shared" si="13"/>
        <v>42</v>
      </c>
      <c r="Y92" s="141" t="str">
        <f t="shared" si="14"/>
        <v>421</v>
      </c>
      <c r="AA92" s="141" t="s">
        <v>1624</v>
      </c>
      <c r="AB92" s="141" t="s">
        <v>1625</v>
      </c>
    </row>
    <row r="93" spans="1:28">
      <c r="A93" s="151"/>
      <c r="B93" s="146" t="str">
        <f t="shared" si="8"/>
        <v/>
      </c>
      <c r="C93" s="151"/>
      <c r="D93" s="146" t="str">
        <f t="shared" si="9"/>
        <v/>
      </c>
      <c r="E93" s="186"/>
      <c r="F93" s="146" t="str">
        <f t="shared" si="10"/>
        <v/>
      </c>
      <c r="G93" s="185"/>
      <c r="H93" s="185"/>
      <c r="I93" s="185"/>
      <c r="J93" s="201"/>
      <c r="K93" s="200"/>
      <c r="L93" s="200"/>
      <c r="M93" s="201"/>
      <c r="N93" s="201"/>
      <c r="P93" s="141" t="str">
        <f t="shared" si="11"/>
        <v/>
      </c>
      <c r="Q93" s="141" t="str">
        <f t="shared" si="12"/>
        <v/>
      </c>
      <c r="U93" s="141">
        <v>4214</v>
      </c>
      <c r="V93" s="141" t="s">
        <v>167</v>
      </c>
      <c r="X93" s="141" t="str">
        <f t="shared" si="13"/>
        <v>42</v>
      </c>
      <c r="Y93" s="141" t="str">
        <f t="shared" si="14"/>
        <v>421</v>
      </c>
      <c r="AA93" s="141" t="s">
        <v>1626</v>
      </c>
      <c r="AB93" s="141" t="s">
        <v>1627</v>
      </c>
    </row>
    <row r="94" spans="1:28">
      <c r="A94" s="151"/>
      <c r="B94" s="146" t="str">
        <f t="shared" si="8"/>
        <v/>
      </c>
      <c r="C94" s="151"/>
      <c r="D94" s="146" t="str">
        <f t="shared" si="9"/>
        <v/>
      </c>
      <c r="E94" s="186"/>
      <c r="F94" s="146" t="str">
        <f t="shared" si="10"/>
        <v/>
      </c>
      <c r="G94" s="185"/>
      <c r="H94" s="185"/>
      <c r="I94" s="185"/>
      <c r="J94" s="201"/>
      <c r="K94" s="200"/>
      <c r="L94" s="200"/>
      <c r="M94" s="201"/>
      <c r="N94" s="201"/>
      <c r="P94" s="141" t="str">
        <f t="shared" si="11"/>
        <v/>
      </c>
      <c r="Q94" s="141" t="str">
        <f t="shared" si="12"/>
        <v/>
      </c>
      <c r="U94" s="141">
        <v>4221</v>
      </c>
      <c r="V94" s="141" t="s">
        <v>102</v>
      </c>
      <c r="X94" s="141" t="str">
        <f t="shared" si="13"/>
        <v>42</v>
      </c>
      <c r="Y94" s="141" t="str">
        <f t="shared" si="14"/>
        <v>422</v>
      </c>
      <c r="AA94" s="141" t="s">
        <v>1628</v>
      </c>
      <c r="AB94" s="141" t="s">
        <v>1629</v>
      </c>
    </row>
    <row r="95" spans="1:28">
      <c r="A95" s="151"/>
      <c r="B95" s="146" t="str">
        <f t="shared" si="8"/>
        <v/>
      </c>
      <c r="C95" s="151"/>
      <c r="D95" s="146" t="str">
        <f t="shared" si="9"/>
        <v/>
      </c>
      <c r="E95" s="186"/>
      <c r="F95" s="146" t="str">
        <f t="shared" si="10"/>
        <v/>
      </c>
      <c r="G95" s="185"/>
      <c r="H95" s="185"/>
      <c r="I95" s="185"/>
      <c r="J95" s="201"/>
      <c r="K95" s="200"/>
      <c r="L95" s="200"/>
      <c r="M95" s="201"/>
      <c r="N95" s="201"/>
      <c r="P95" s="141" t="str">
        <f t="shared" si="11"/>
        <v/>
      </c>
      <c r="Q95" s="141" t="str">
        <f t="shared" si="12"/>
        <v/>
      </c>
      <c r="U95" s="141">
        <v>4222</v>
      </c>
      <c r="V95" s="141" t="s">
        <v>113</v>
      </c>
      <c r="X95" s="141" t="str">
        <f t="shared" si="13"/>
        <v>42</v>
      </c>
      <c r="Y95" s="141" t="str">
        <f t="shared" si="14"/>
        <v>422</v>
      </c>
      <c r="AA95" s="141" t="s">
        <v>1630</v>
      </c>
      <c r="AB95" s="141" t="s">
        <v>1631</v>
      </c>
    </row>
    <row r="96" spans="1:28">
      <c r="A96" s="151"/>
      <c r="B96" s="146" t="str">
        <f t="shared" si="8"/>
        <v/>
      </c>
      <c r="C96" s="151"/>
      <c r="D96" s="146" t="str">
        <f t="shared" si="9"/>
        <v/>
      </c>
      <c r="E96" s="186"/>
      <c r="F96" s="146" t="str">
        <f t="shared" si="10"/>
        <v/>
      </c>
      <c r="G96" s="185"/>
      <c r="H96" s="185"/>
      <c r="I96" s="185"/>
      <c r="J96" s="201"/>
      <c r="K96" s="200"/>
      <c r="L96" s="200"/>
      <c r="M96" s="201"/>
      <c r="N96" s="201"/>
      <c r="P96" s="141" t="str">
        <f t="shared" si="11"/>
        <v/>
      </c>
      <c r="Q96" s="141" t="str">
        <f t="shared" si="12"/>
        <v/>
      </c>
      <c r="U96" s="141">
        <v>4223</v>
      </c>
      <c r="V96" s="141" t="s">
        <v>126</v>
      </c>
      <c r="X96" s="141" t="str">
        <f t="shared" si="13"/>
        <v>42</v>
      </c>
      <c r="Y96" s="141" t="str">
        <f t="shared" si="14"/>
        <v>422</v>
      </c>
      <c r="AA96" s="141" t="s">
        <v>1632</v>
      </c>
      <c r="AB96" s="141" t="s">
        <v>1633</v>
      </c>
    </row>
    <row r="97" spans="1:28">
      <c r="A97" s="151"/>
      <c r="B97" s="146" t="str">
        <f t="shared" si="8"/>
        <v/>
      </c>
      <c r="C97" s="151"/>
      <c r="D97" s="146" t="str">
        <f t="shared" si="9"/>
        <v/>
      </c>
      <c r="E97" s="186"/>
      <c r="F97" s="146" t="str">
        <f t="shared" si="10"/>
        <v/>
      </c>
      <c r="G97" s="185"/>
      <c r="H97" s="185"/>
      <c r="I97" s="185"/>
      <c r="J97" s="201"/>
      <c r="K97" s="200"/>
      <c r="L97" s="200"/>
      <c r="M97" s="201"/>
      <c r="N97" s="201"/>
      <c r="P97" s="141" t="str">
        <f t="shared" si="11"/>
        <v/>
      </c>
      <c r="Q97" s="141" t="str">
        <f t="shared" si="12"/>
        <v/>
      </c>
      <c r="U97" s="141">
        <v>4224</v>
      </c>
      <c r="V97" s="141" t="s">
        <v>119</v>
      </c>
      <c r="X97" s="141" t="str">
        <f t="shared" si="13"/>
        <v>42</v>
      </c>
      <c r="Y97" s="141" t="str">
        <f t="shared" si="14"/>
        <v>422</v>
      </c>
      <c r="AA97" s="141" t="s">
        <v>1634</v>
      </c>
      <c r="AB97" s="141" t="s">
        <v>1635</v>
      </c>
    </row>
    <row r="98" spans="1:28">
      <c r="A98" s="151"/>
      <c r="B98" s="146" t="str">
        <f t="shared" si="8"/>
        <v/>
      </c>
      <c r="C98" s="151"/>
      <c r="D98" s="146" t="str">
        <f t="shared" si="9"/>
        <v/>
      </c>
      <c r="E98" s="186"/>
      <c r="F98" s="146" t="str">
        <f t="shared" si="10"/>
        <v/>
      </c>
      <c r="G98" s="185"/>
      <c r="H98" s="185"/>
      <c r="I98" s="185"/>
      <c r="J98" s="201"/>
      <c r="K98" s="200"/>
      <c r="L98" s="200"/>
      <c r="M98" s="201"/>
      <c r="N98" s="201"/>
      <c r="P98" s="141" t="str">
        <f t="shared" si="11"/>
        <v/>
      </c>
      <c r="Q98" s="141" t="str">
        <f t="shared" si="12"/>
        <v/>
      </c>
      <c r="U98" s="141">
        <v>4225</v>
      </c>
      <c r="V98" s="141" t="s">
        <v>123</v>
      </c>
      <c r="X98" s="141" t="str">
        <f t="shared" si="13"/>
        <v>42</v>
      </c>
      <c r="Y98" s="141" t="str">
        <f t="shared" si="14"/>
        <v>422</v>
      </c>
      <c r="AA98" s="141" t="s">
        <v>1636</v>
      </c>
      <c r="AB98" s="141" t="s">
        <v>1637</v>
      </c>
    </row>
    <row r="99" spans="1:28">
      <c r="A99" s="151"/>
      <c r="B99" s="146" t="str">
        <f t="shared" si="8"/>
        <v/>
      </c>
      <c r="C99" s="151"/>
      <c r="D99" s="146" t="str">
        <f t="shared" si="9"/>
        <v/>
      </c>
      <c r="E99" s="186"/>
      <c r="F99" s="146" t="str">
        <f t="shared" si="10"/>
        <v/>
      </c>
      <c r="G99" s="185"/>
      <c r="H99" s="185"/>
      <c r="I99" s="185"/>
      <c r="J99" s="201"/>
      <c r="K99" s="200"/>
      <c r="L99" s="200"/>
      <c r="M99" s="201"/>
      <c r="N99" s="201"/>
      <c r="P99" s="141" t="str">
        <f t="shared" si="11"/>
        <v/>
      </c>
      <c r="Q99" s="141" t="str">
        <f t="shared" si="12"/>
        <v/>
      </c>
      <c r="U99" s="141">
        <v>4226</v>
      </c>
      <c r="V99" s="141" t="s">
        <v>168</v>
      </c>
      <c r="X99" s="141" t="str">
        <f t="shared" si="13"/>
        <v>42</v>
      </c>
      <c r="Y99" s="141" t="str">
        <f t="shared" si="14"/>
        <v>422</v>
      </c>
      <c r="AA99" s="141" t="s">
        <v>1638</v>
      </c>
      <c r="AB99" s="141" t="s">
        <v>1639</v>
      </c>
    </row>
    <row r="100" spans="1:28">
      <c r="A100" s="151"/>
      <c r="B100" s="146" t="str">
        <f t="shared" si="8"/>
        <v/>
      </c>
      <c r="C100" s="151"/>
      <c r="D100" s="146" t="str">
        <f t="shared" si="9"/>
        <v/>
      </c>
      <c r="E100" s="186"/>
      <c r="F100" s="146" t="str">
        <f t="shared" si="10"/>
        <v/>
      </c>
      <c r="G100" s="185"/>
      <c r="H100" s="185"/>
      <c r="I100" s="185"/>
      <c r="J100" s="201"/>
      <c r="K100" s="200"/>
      <c r="L100" s="200"/>
      <c r="M100" s="201"/>
      <c r="N100" s="201"/>
      <c r="P100" s="141" t="str">
        <f t="shared" si="11"/>
        <v/>
      </c>
      <c r="Q100" s="141" t="str">
        <f t="shared" si="12"/>
        <v/>
      </c>
      <c r="U100" s="141">
        <v>4227</v>
      </c>
      <c r="V100" s="141" t="s">
        <v>136</v>
      </c>
      <c r="X100" s="141" t="str">
        <f t="shared" si="13"/>
        <v>42</v>
      </c>
      <c r="Y100" s="141" t="str">
        <f t="shared" si="14"/>
        <v>422</v>
      </c>
      <c r="AA100" s="141" t="s">
        <v>1640</v>
      </c>
      <c r="AB100" s="141" t="s">
        <v>1641</v>
      </c>
    </row>
    <row r="101" spans="1:28">
      <c r="A101" s="151"/>
      <c r="B101" s="146" t="str">
        <f t="shared" si="8"/>
        <v/>
      </c>
      <c r="C101" s="151"/>
      <c r="D101" s="146" t="str">
        <f t="shared" si="9"/>
        <v/>
      </c>
      <c r="E101" s="186"/>
      <c r="F101" s="146" t="str">
        <f t="shared" si="10"/>
        <v/>
      </c>
      <c r="G101" s="185"/>
      <c r="H101" s="185"/>
      <c r="I101" s="185"/>
      <c r="J101" s="201"/>
      <c r="K101" s="200"/>
      <c r="L101" s="200"/>
      <c r="M101" s="201"/>
      <c r="N101" s="201"/>
      <c r="P101" s="141" t="str">
        <f t="shared" si="11"/>
        <v/>
      </c>
      <c r="Q101" s="141" t="str">
        <f t="shared" si="12"/>
        <v/>
      </c>
      <c r="U101" s="141">
        <v>4231</v>
      </c>
      <c r="V101" s="141" t="s">
        <v>169</v>
      </c>
      <c r="X101" s="141" t="str">
        <f t="shared" si="13"/>
        <v>42</v>
      </c>
      <c r="Y101" s="141" t="str">
        <f t="shared" si="14"/>
        <v>423</v>
      </c>
      <c r="AA101" s="141" t="s">
        <v>1642</v>
      </c>
      <c r="AB101" s="141" t="s">
        <v>1643</v>
      </c>
    </row>
    <row r="102" spans="1:28">
      <c r="A102" s="151"/>
      <c r="B102" s="146" t="str">
        <f t="shared" si="8"/>
        <v/>
      </c>
      <c r="C102" s="151"/>
      <c r="D102" s="146" t="str">
        <f t="shared" si="9"/>
        <v/>
      </c>
      <c r="E102" s="186"/>
      <c r="F102" s="146" t="str">
        <f t="shared" si="10"/>
        <v/>
      </c>
      <c r="G102" s="185"/>
      <c r="H102" s="185"/>
      <c r="I102" s="185"/>
      <c r="J102" s="201"/>
      <c r="K102" s="200"/>
      <c r="L102" s="200"/>
      <c r="M102" s="201"/>
      <c r="N102" s="201"/>
      <c r="P102" s="141" t="str">
        <f t="shared" si="11"/>
        <v/>
      </c>
      <c r="Q102" s="141" t="str">
        <f t="shared" si="12"/>
        <v/>
      </c>
      <c r="U102" s="141">
        <v>4233</v>
      </c>
      <c r="V102" s="141" t="s">
        <v>177</v>
      </c>
      <c r="X102" s="141" t="str">
        <f t="shared" si="13"/>
        <v>42</v>
      </c>
      <c r="Y102" s="141" t="str">
        <f t="shared" si="14"/>
        <v>423</v>
      </c>
      <c r="AA102" s="141" t="s">
        <v>1644</v>
      </c>
      <c r="AB102" s="141" t="s">
        <v>1645</v>
      </c>
    </row>
    <row r="103" spans="1:28">
      <c r="A103" s="151"/>
      <c r="B103" s="146" t="str">
        <f t="shared" si="8"/>
        <v/>
      </c>
      <c r="C103" s="151"/>
      <c r="D103" s="146" t="str">
        <f t="shared" si="9"/>
        <v/>
      </c>
      <c r="E103" s="186"/>
      <c r="F103" s="146" t="str">
        <f t="shared" si="10"/>
        <v/>
      </c>
      <c r="G103" s="185"/>
      <c r="H103" s="185"/>
      <c r="I103" s="185"/>
      <c r="J103" s="201"/>
      <c r="K103" s="200"/>
      <c r="L103" s="200"/>
      <c r="M103" s="201"/>
      <c r="N103" s="201"/>
      <c r="P103" s="141" t="str">
        <f t="shared" si="11"/>
        <v/>
      </c>
      <c r="Q103" s="141" t="str">
        <f t="shared" si="12"/>
        <v/>
      </c>
      <c r="U103" s="141">
        <v>4241</v>
      </c>
      <c r="V103" s="141" t="s">
        <v>114</v>
      </c>
      <c r="X103" s="141" t="str">
        <f t="shared" si="13"/>
        <v>42</v>
      </c>
      <c r="Y103" s="141" t="str">
        <f t="shared" si="14"/>
        <v>424</v>
      </c>
      <c r="AA103" s="141" t="s">
        <v>1646</v>
      </c>
      <c r="AB103" s="141" t="s">
        <v>1647</v>
      </c>
    </row>
    <row r="104" spans="1:28">
      <c r="A104" s="151"/>
      <c r="B104" s="146" t="str">
        <f t="shared" si="8"/>
        <v/>
      </c>
      <c r="C104" s="151"/>
      <c r="D104" s="146" t="str">
        <f t="shared" si="9"/>
        <v/>
      </c>
      <c r="E104" s="186"/>
      <c r="F104" s="146" t="str">
        <f t="shared" si="10"/>
        <v/>
      </c>
      <c r="G104" s="185"/>
      <c r="H104" s="185"/>
      <c r="I104" s="185"/>
      <c r="J104" s="201"/>
      <c r="K104" s="200"/>
      <c r="L104" s="200"/>
      <c r="M104" s="201"/>
      <c r="N104" s="201"/>
      <c r="P104" s="141" t="str">
        <f t="shared" si="11"/>
        <v/>
      </c>
      <c r="Q104" s="141" t="str">
        <f t="shared" si="12"/>
        <v/>
      </c>
      <c r="U104" s="141">
        <v>4242</v>
      </c>
      <c r="V104" s="141" t="s">
        <v>146</v>
      </c>
      <c r="X104" s="141" t="str">
        <f t="shared" si="13"/>
        <v>42</v>
      </c>
      <c r="Y104" s="141" t="str">
        <f t="shared" si="14"/>
        <v>424</v>
      </c>
      <c r="AA104" s="141" t="s">
        <v>1648</v>
      </c>
      <c r="AB104" s="141" t="s">
        <v>1649</v>
      </c>
    </row>
    <row r="105" spans="1:28">
      <c r="A105" s="151"/>
      <c r="B105" s="146" t="str">
        <f t="shared" si="8"/>
        <v/>
      </c>
      <c r="C105" s="151"/>
      <c r="D105" s="146" t="str">
        <f t="shared" si="9"/>
        <v/>
      </c>
      <c r="E105" s="186"/>
      <c r="F105" s="146" t="str">
        <f t="shared" si="10"/>
        <v/>
      </c>
      <c r="G105" s="185"/>
      <c r="H105" s="185"/>
      <c r="I105" s="185"/>
      <c r="J105" s="201"/>
      <c r="K105" s="200"/>
      <c r="L105" s="200"/>
      <c r="M105" s="201"/>
      <c r="N105" s="201"/>
      <c r="P105" s="141" t="str">
        <f t="shared" si="11"/>
        <v/>
      </c>
      <c r="Q105" s="141" t="str">
        <f t="shared" si="12"/>
        <v/>
      </c>
      <c r="U105" s="141">
        <v>4244</v>
      </c>
      <c r="V105" s="141" t="s">
        <v>178</v>
      </c>
      <c r="X105" s="141" t="str">
        <f t="shared" si="13"/>
        <v>42</v>
      </c>
      <c r="Y105" s="141" t="str">
        <f t="shared" si="14"/>
        <v>424</v>
      </c>
      <c r="AA105" s="141" t="s">
        <v>1650</v>
      </c>
      <c r="AB105" s="141" t="s">
        <v>1651</v>
      </c>
    </row>
    <row r="106" spans="1:28">
      <c r="A106" s="151"/>
      <c r="B106" s="146" t="str">
        <f t="shared" si="8"/>
        <v/>
      </c>
      <c r="C106" s="151"/>
      <c r="D106" s="146" t="str">
        <f t="shared" si="9"/>
        <v/>
      </c>
      <c r="E106" s="186"/>
      <c r="F106" s="146" t="str">
        <f t="shared" si="10"/>
        <v/>
      </c>
      <c r="G106" s="185"/>
      <c r="H106" s="185"/>
      <c r="I106" s="185"/>
      <c r="J106" s="201"/>
      <c r="K106" s="200"/>
      <c r="L106" s="200"/>
      <c r="M106" s="201"/>
      <c r="N106" s="201"/>
      <c r="P106" s="141" t="str">
        <f t="shared" si="11"/>
        <v/>
      </c>
      <c r="Q106" s="141" t="str">
        <f t="shared" si="12"/>
        <v/>
      </c>
      <c r="U106" s="141">
        <v>4251</v>
      </c>
      <c r="V106" s="141" t="s">
        <v>170</v>
      </c>
      <c r="X106" s="141" t="str">
        <f t="shared" si="13"/>
        <v>42</v>
      </c>
      <c r="Y106" s="141" t="str">
        <f t="shared" si="14"/>
        <v>425</v>
      </c>
      <c r="AA106" s="141" t="s">
        <v>1652</v>
      </c>
      <c r="AB106" s="141" t="s">
        <v>1653</v>
      </c>
    </row>
    <row r="107" spans="1:28">
      <c r="A107" s="151"/>
      <c r="B107" s="146" t="str">
        <f t="shared" si="8"/>
        <v/>
      </c>
      <c r="C107" s="151"/>
      <c r="D107" s="146" t="str">
        <f t="shared" si="9"/>
        <v/>
      </c>
      <c r="E107" s="186"/>
      <c r="F107" s="146" t="str">
        <f t="shared" si="10"/>
        <v/>
      </c>
      <c r="G107" s="185"/>
      <c r="H107" s="185"/>
      <c r="I107" s="185"/>
      <c r="J107" s="201"/>
      <c r="K107" s="200"/>
      <c r="L107" s="200"/>
      <c r="M107" s="201"/>
      <c r="N107" s="201"/>
      <c r="P107" s="141" t="str">
        <f t="shared" si="11"/>
        <v/>
      </c>
      <c r="Q107" s="141" t="str">
        <f t="shared" si="12"/>
        <v/>
      </c>
      <c r="U107" s="141">
        <v>4252</v>
      </c>
      <c r="V107" s="141" t="s">
        <v>171</v>
      </c>
      <c r="X107" s="141" t="str">
        <f t="shared" si="13"/>
        <v>42</v>
      </c>
      <c r="Y107" s="141" t="str">
        <f t="shared" si="14"/>
        <v>425</v>
      </c>
      <c r="AA107" s="141" t="s">
        <v>1654</v>
      </c>
      <c r="AB107" s="141" t="s">
        <v>1655</v>
      </c>
    </row>
    <row r="108" spans="1:28">
      <c r="A108" s="151"/>
      <c r="B108" s="146" t="str">
        <f t="shared" si="8"/>
        <v/>
      </c>
      <c r="C108" s="151"/>
      <c r="D108" s="146" t="str">
        <f t="shared" si="9"/>
        <v/>
      </c>
      <c r="E108" s="186"/>
      <c r="F108" s="146" t="str">
        <f t="shared" si="10"/>
        <v/>
      </c>
      <c r="G108" s="185"/>
      <c r="H108" s="185"/>
      <c r="I108" s="185"/>
      <c r="J108" s="201"/>
      <c r="K108" s="200"/>
      <c r="L108" s="200"/>
      <c r="M108" s="201"/>
      <c r="N108" s="201"/>
      <c r="P108" s="141" t="str">
        <f t="shared" si="11"/>
        <v/>
      </c>
      <c r="Q108" s="141" t="str">
        <f t="shared" si="12"/>
        <v/>
      </c>
      <c r="U108" s="141">
        <v>4262</v>
      </c>
      <c r="V108" s="141" t="s">
        <v>115</v>
      </c>
      <c r="X108" s="141" t="str">
        <f t="shared" si="13"/>
        <v>42</v>
      </c>
      <c r="Y108" s="141" t="str">
        <f t="shared" si="14"/>
        <v>426</v>
      </c>
      <c r="AA108" s="141" t="s">
        <v>1656</v>
      </c>
      <c r="AB108" s="141" t="s">
        <v>1657</v>
      </c>
    </row>
    <row r="109" spans="1:28">
      <c r="A109" s="151"/>
      <c r="B109" s="146" t="str">
        <f t="shared" si="8"/>
        <v/>
      </c>
      <c r="C109" s="151"/>
      <c r="D109" s="146" t="str">
        <f t="shared" si="9"/>
        <v/>
      </c>
      <c r="E109" s="186"/>
      <c r="F109" s="146" t="str">
        <f t="shared" si="10"/>
        <v/>
      </c>
      <c r="G109" s="185"/>
      <c r="H109" s="185"/>
      <c r="I109" s="185"/>
      <c r="J109" s="201"/>
      <c r="K109" s="200"/>
      <c r="L109" s="200"/>
      <c r="M109" s="201"/>
      <c r="N109" s="201"/>
      <c r="P109" s="141" t="str">
        <f t="shared" si="11"/>
        <v/>
      </c>
      <c r="Q109" s="141" t="str">
        <f t="shared" si="12"/>
        <v/>
      </c>
      <c r="U109" s="141">
        <v>4263</v>
      </c>
      <c r="V109" s="141" t="s">
        <v>172</v>
      </c>
      <c r="X109" s="141" t="str">
        <f t="shared" si="13"/>
        <v>42</v>
      </c>
      <c r="Y109" s="141" t="str">
        <f t="shared" si="14"/>
        <v>426</v>
      </c>
      <c r="AA109" s="141" t="s">
        <v>1658</v>
      </c>
      <c r="AB109" s="141" t="s">
        <v>1659</v>
      </c>
    </row>
    <row r="110" spans="1:28">
      <c r="A110" s="151"/>
      <c r="B110" s="146" t="str">
        <f t="shared" si="8"/>
        <v/>
      </c>
      <c r="C110" s="151"/>
      <c r="D110" s="146" t="str">
        <f t="shared" si="9"/>
        <v/>
      </c>
      <c r="E110" s="186"/>
      <c r="F110" s="146" t="str">
        <f t="shared" si="10"/>
        <v/>
      </c>
      <c r="G110" s="185"/>
      <c r="H110" s="185"/>
      <c r="I110" s="185"/>
      <c r="J110" s="201"/>
      <c r="K110" s="200"/>
      <c r="L110" s="200"/>
      <c r="M110" s="201"/>
      <c r="N110" s="201"/>
      <c r="P110" s="141" t="str">
        <f t="shared" si="11"/>
        <v/>
      </c>
      <c r="Q110" s="141" t="str">
        <f t="shared" si="12"/>
        <v/>
      </c>
      <c r="U110" s="141">
        <v>4264</v>
      </c>
      <c r="V110" s="141" t="s">
        <v>127</v>
      </c>
      <c r="X110" s="141" t="str">
        <f t="shared" si="13"/>
        <v>42</v>
      </c>
      <c r="Y110" s="141" t="str">
        <f t="shared" si="14"/>
        <v>426</v>
      </c>
      <c r="AA110" s="141" t="s">
        <v>1660</v>
      </c>
      <c r="AB110" s="141" t="s">
        <v>1661</v>
      </c>
    </row>
    <row r="111" spans="1:28">
      <c r="A111" s="151"/>
      <c r="B111" s="146" t="str">
        <f t="shared" si="8"/>
        <v/>
      </c>
      <c r="C111" s="151"/>
      <c r="D111" s="146" t="str">
        <f t="shared" si="9"/>
        <v/>
      </c>
      <c r="E111" s="186"/>
      <c r="F111" s="146" t="str">
        <f t="shared" si="10"/>
        <v/>
      </c>
      <c r="G111" s="185"/>
      <c r="H111" s="185"/>
      <c r="I111" s="185"/>
      <c r="J111" s="201"/>
      <c r="K111" s="200"/>
      <c r="L111" s="200"/>
      <c r="M111" s="201"/>
      <c r="N111" s="201"/>
      <c r="P111" s="141" t="str">
        <f t="shared" si="11"/>
        <v/>
      </c>
      <c r="Q111" s="141" t="str">
        <f t="shared" si="12"/>
        <v/>
      </c>
      <c r="U111" s="141">
        <v>4312</v>
      </c>
      <c r="V111" s="141" t="s">
        <v>129</v>
      </c>
      <c r="X111" s="141" t="str">
        <f t="shared" si="13"/>
        <v>43</v>
      </c>
      <c r="Y111" s="141" t="str">
        <f t="shared" si="14"/>
        <v>431</v>
      </c>
      <c r="AA111" s="141" t="s">
        <v>1662</v>
      </c>
      <c r="AB111" s="141" t="s">
        <v>1663</v>
      </c>
    </row>
    <row r="112" spans="1:28">
      <c r="A112" s="151"/>
      <c r="B112" s="146" t="str">
        <f t="shared" si="8"/>
        <v/>
      </c>
      <c r="C112" s="151"/>
      <c r="D112" s="146" t="str">
        <f t="shared" si="9"/>
        <v/>
      </c>
      <c r="E112" s="186"/>
      <c r="F112" s="146" t="str">
        <f t="shared" si="10"/>
        <v/>
      </c>
      <c r="G112" s="185"/>
      <c r="H112" s="185"/>
      <c r="I112" s="185"/>
      <c r="J112" s="201"/>
      <c r="K112" s="200"/>
      <c r="L112" s="200"/>
      <c r="M112" s="201"/>
      <c r="N112" s="201"/>
      <c r="P112" s="141" t="str">
        <f t="shared" si="11"/>
        <v/>
      </c>
      <c r="Q112" s="141" t="str">
        <f t="shared" si="12"/>
        <v/>
      </c>
      <c r="U112" s="141">
        <v>4411</v>
      </c>
      <c r="V112" s="141" t="s">
        <v>173</v>
      </c>
      <c r="X112" s="141" t="str">
        <f t="shared" si="13"/>
        <v>44</v>
      </c>
      <c r="Y112" s="141" t="str">
        <f t="shared" si="14"/>
        <v>441</v>
      </c>
      <c r="AA112" s="141" t="s">
        <v>1664</v>
      </c>
      <c r="AB112" s="141" t="s">
        <v>1665</v>
      </c>
    </row>
    <row r="113" spans="1:28">
      <c r="A113" s="151"/>
      <c r="B113" s="146" t="str">
        <f t="shared" si="8"/>
        <v/>
      </c>
      <c r="C113" s="151"/>
      <c r="D113" s="146" t="str">
        <f t="shared" si="9"/>
        <v/>
      </c>
      <c r="E113" s="186"/>
      <c r="F113" s="146" t="str">
        <f t="shared" si="10"/>
        <v/>
      </c>
      <c r="G113" s="185"/>
      <c r="H113" s="185"/>
      <c r="I113" s="185"/>
      <c r="J113" s="201"/>
      <c r="K113" s="200"/>
      <c r="L113" s="200"/>
      <c r="M113" s="201"/>
      <c r="N113" s="201"/>
      <c r="P113" s="141" t="str">
        <f t="shared" si="11"/>
        <v/>
      </c>
      <c r="Q113" s="141" t="str">
        <f t="shared" si="12"/>
        <v/>
      </c>
      <c r="U113" s="141">
        <v>4511</v>
      </c>
      <c r="V113" s="141" t="s">
        <v>128</v>
      </c>
      <c r="X113" s="141" t="str">
        <f t="shared" si="13"/>
        <v>45</v>
      </c>
      <c r="Y113" s="141" t="str">
        <f t="shared" si="14"/>
        <v>451</v>
      </c>
      <c r="AA113" s="141" t="s">
        <v>1666</v>
      </c>
      <c r="AB113" s="141" t="s">
        <v>1667</v>
      </c>
    </row>
    <row r="114" spans="1:28">
      <c r="A114" s="151"/>
      <c r="B114" s="146" t="str">
        <f t="shared" si="8"/>
        <v/>
      </c>
      <c r="C114" s="151"/>
      <c r="D114" s="146" t="str">
        <f t="shared" si="9"/>
        <v/>
      </c>
      <c r="E114" s="186"/>
      <c r="F114" s="146" t="str">
        <f t="shared" si="10"/>
        <v/>
      </c>
      <c r="G114" s="185"/>
      <c r="H114" s="185"/>
      <c r="I114" s="185"/>
      <c r="J114" s="201"/>
      <c r="K114" s="200"/>
      <c r="L114" s="200"/>
      <c r="M114" s="201"/>
      <c r="N114" s="201"/>
      <c r="P114" s="141" t="str">
        <f t="shared" si="11"/>
        <v/>
      </c>
      <c r="Q114" s="141" t="str">
        <f t="shared" si="12"/>
        <v/>
      </c>
      <c r="U114" s="141">
        <v>4521</v>
      </c>
      <c r="V114" s="141" t="s">
        <v>147</v>
      </c>
      <c r="X114" s="141" t="str">
        <f t="shared" si="13"/>
        <v>45</v>
      </c>
      <c r="Y114" s="141" t="str">
        <f t="shared" si="14"/>
        <v>452</v>
      </c>
      <c r="AA114" s="141" t="s">
        <v>1668</v>
      </c>
      <c r="AB114" s="141" t="s">
        <v>1669</v>
      </c>
    </row>
    <row r="115" spans="1:28">
      <c r="A115" s="151"/>
      <c r="B115" s="146" t="str">
        <f t="shared" si="8"/>
        <v/>
      </c>
      <c r="C115" s="151"/>
      <c r="D115" s="146" t="str">
        <f t="shared" si="9"/>
        <v/>
      </c>
      <c r="E115" s="186"/>
      <c r="F115" s="146" t="str">
        <f t="shared" si="10"/>
        <v/>
      </c>
      <c r="G115" s="185"/>
      <c r="H115" s="185"/>
      <c r="I115" s="185"/>
      <c r="J115" s="201"/>
      <c r="K115" s="200"/>
      <c r="L115" s="200"/>
      <c r="M115" s="201"/>
      <c r="N115" s="201"/>
      <c r="P115" s="141" t="str">
        <f t="shared" si="11"/>
        <v/>
      </c>
      <c r="Q115" s="141" t="str">
        <f t="shared" si="12"/>
        <v/>
      </c>
      <c r="U115" s="141">
        <v>4531</v>
      </c>
      <c r="V115" s="141" t="s">
        <v>190</v>
      </c>
      <c r="X115" s="141" t="str">
        <f t="shared" si="13"/>
        <v>45</v>
      </c>
      <c r="Y115" s="141" t="str">
        <f t="shared" si="14"/>
        <v>453</v>
      </c>
      <c r="AA115" s="141" t="s">
        <v>1670</v>
      </c>
      <c r="AB115" s="141" t="s">
        <v>1671</v>
      </c>
    </row>
    <row r="116" spans="1:28">
      <c r="A116" s="151"/>
      <c r="B116" s="146" t="str">
        <f t="shared" si="8"/>
        <v/>
      </c>
      <c r="C116" s="151"/>
      <c r="D116" s="146" t="str">
        <f t="shared" si="9"/>
        <v/>
      </c>
      <c r="E116" s="186"/>
      <c r="F116" s="146" t="str">
        <f t="shared" si="10"/>
        <v/>
      </c>
      <c r="G116" s="185"/>
      <c r="H116" s="185"/>
      <c r="I116" s="185"/>
      <c r="J116" s="201"/>
      <c r="K116" s="200"/>
      <c r="L116" s="200"/>
      <c r="M116" s="201"/>
      <c r="N116" s="201"/>
      <c r="P116" s="141" t="str">
        <f t="shared" si="11"/>
        <v/>
      </c>
      <c r="Q116" s="141" t="str">
        <f t="shared" si="12"/>
        <v/>
      </c>
      <c r="U116" s="141">
        <v>4541</v>
      </c>
      <c r="V116" s="141" t="s">
        <v>142</v>
      </c>
      <c r="X116" s="141" t="str">
        <f t="shared" si="13"/>
        <v>45</v>
      </c>
      <c r="Y116" s="141" t="str">
        <f t="shared" si="14"/>
        <v>454</v>
      </c>
      <c r="AA116" s="141" t="s">
        <v>1672</v>
      </c>
      <c r="AB116" s="141" t="s">
        <v>1673</v>
      </c>
    </row>
    <row r="117" spans="1:28">
      <c r="A117" s="151"/>
      <c r="B117" s="146" t="str">
        <f t="shared" si="8"/>
        <v/>
      </c>
      <c r="C117" s="151"/>
      <c r="D117" s="146" t="str">
        <f t="shared" si="9"/>
        <v/>
      </c>
      <c r="E117" s="186"/>
      <c r="F117" s="146" t="str">
        <f t="shared" si="10"/>
        <v/>
      </c>
      <c r="G117" s="185"/>
      <c r="H117" s="185"/>
      <c r="I117" s="185"/>
      <c r="J117" s="201"/>
      <c r="K117" s="200"/>
      <c r="L117" s="200"/>
      <c r="M117" s="201"/>
      <c r="N117" s="201"/>
      <c r="P117" s="141" t="str">
        <f t="shared" si="11"/>
        <v/>
      </c>
      <c r="Q117" s="141" t="str">
        <f t="shared" si="12"/>
        <v/>
      </c>
      <c r="U117" s="141">
        <v>5121</v>
      </c>
      <c r="V117" s="141" t="s">
        <v>198</v>
      </c>
      <c r="X117" s="141" t="str">
        <f t="shared" si="13"/>
        <v>51</v>
      </c>
      <c r="Y117" s="141" t="str">
        <f t="shared" si="14"/>
        <v>512</v>
      </c>
      <c r="AA117" s="141" t="s">
        <v>1674</v>
      </c>
      <c r="AB117" s="141" t="s">
        <v>1675</v>
      </c>
    </row>
    <row r="118" spans="1:28">
      <c r="A118" s="151"/>
      <c r="B118" s="146" t="str">
        <f t="shared" si="8"/>
        <v/>
      </c>
      <c r="C118" s="151"/>
      <c r="D118" s="146" t="str">
        <f t="shared" si="9"/>
        <v/>
      </c>
      <c r="E118" s="186"/>
      <c r="F118" s="146" t="str">
        <f t="shared" si="10"/>
        <v/>
      </c>
      <c r="G118" s="185"/>
      <c r="H118" s="185"/>
      <c r="I118" s="185"/>
      <c r="J118" s="201"/>
      <c r="K118" s="200"/>
      <c r="L118" s="200"/>
      <c r="M118" s="201"/>
      <c r="N118" s="201"/>
      <c r="P118" s="141" t="str">
        <f t="shared" si="11"/>
        <v/>
      </c>
      <c r="Q118" s="141" t="str">
        <f t="shared" si="12"/>
        <v/>
      </c>
      <c r="U118" s="141">
        <v>5443</v>
      </c>
      <c r="V118" s="141" t="s">
        <v>174</v>
      </c>
      <c r="X118" s="141" t="str">
        <f t="shared" si="13"/>
        <v>54</v>
      </c>
      <c r="Y118" s="141" t="str">
        <f t="shared" si="14"/>
        <v>544</v>
      </c>
      <c r="AA118" s="141" t="s">
        <v>1676</v>
      </c>
      <c r="AB118" s="141" t="s">
        <v>1677</v>
      </c>
    </row>
    <row r="119" spans="1:28">
      <c r="A119" s="151"/>
      <c r="B119" s="146" t="str">
        <f t="shared" si="8"/>
        <v/>
      </c>
      <c r="C119" s="151"/>
      <c r="D119" s="146" t="str">
        <f t="shared" si="9"/>
        <v/>
      </c>
      <c r="E119" s="186"/>
      <c r="F119" s="146" t="str">
        <f t="shared" si="10"/>
        <v/>
      </c>
      <c r="G119" s="185"/>
      <c r="H119" s="185"/>
      <c r="I119" s="185"/>
      <c r="J119" s="201"/>
      <c r="K119" s="200"/>
      <c r="L119" s="200"/>
      <c r="M119" s="201"/>
      <c r="N119" s="201"/>
      <c r="P119" s="141" t="str">
        <f t="shared" si="11"/>
        <v/>
      </c>
      <c r="Q119" s="141" t="str">
        <f t="shared" si="12"/>
        <v/>
      </c>
      <c r="U119" s="141">
        <v>5121</v>
      </c>
      <c r="V119" s="141" t="s">
        <v>766</v>
      </c>
      <c r="X119" s="141" t="str">
        <f t="shared" si="13"/>
        <v>51</v>
      </c>
      <c r="Y119" s="141" t="str">
        <f t="shared" si="14"/>
        <v>512</v>
      </c>
      <c r="AA119" s="141" t="s">
        <v>1678</v>
      </c>
      <c r="AB119" s="141" t="s">
        <v>1679</v>
      </c>
    </row>
    <row r="120" spans="1:28">
      <c r="A120" s="151"/>
      <c r="B120" s="146" t="str">
        <f t="shared" si="8"/>
        <v/>
      </c>
      <c r="C120" s="151"/>
      <c r="D120" s="146" t="str">
        <f t="shared" si="9"/>
        <v/>
      </c>
      <c r="E120" s="186"/>
      <c r="F120" s="146" t="str">
        <f t="shared" si="10"/>
        <v/>
      </c>
      <c r="G120" s="185"/>
      <c r="H120" s="185"/>
      <c r="I120" s="185"/>
      <c r="J120" s="201"/>
      <c r="K120" s="200"/>
      <c r="L120" s="200"/>
      <c r="M120" s="201"/>
      <c r="N120" s="201"/>
      <c r="P120" s="141" t="str">
        <f t="shared" si="11"/>
        <v/>
      </c>
      <c r="Q120" s="141" t="str">
        <f t="shared" si="12"/>
        <v/>
      </c>
      <c r="U120" s="141">
        <v>5122</v>
      </c>
      <c r="V120" s="141" t="s">
        <v>767</v>
      </c>
      <c r="X120" s="141" t="str">
        <f t="shared" si="13"/>
        <v>51</v>
      </c>
      <c r="Y120" s="141" t="str">
        <f t="shared" si="14"/>
        <v>512</v>
      </c>
      <c r="AA120" s="141" t="s">
        <v>1680</v>
      </c>
      <c r="AB120" s="141" t="s">
        <v>1681</v>
      </c>
    </row>
    <row r="121" spans="1:28">
      <c r="A121" s="151"/>
      <c r="B121" s="146" t="str">
        <f t="shared" si="8"/>
        <v/>
      </c>
      <c r="C121" s="151"/>
      <c r="D121" s="146" t="str">
        <f t="shared" si="9"/>
        <v/>
      </c>
      <c r="E121" s="186"/>
      <c r="F121" s="146" t="str">
        <f t="shared" si="10"/>
        <v/>
      </c>
      <c r="G121" s="185"/>
      <c r="H121" s="185"/>
      <c r="I121" s="185"/>
      <c r="J121" s="201"/>
      <c r="K121" s="200"/>
      <c r="L121" s="200"/>
      <c r="M121" s="201"/>
      <c r="N121" s="201"/>
      <c r="P121" s="141" t="str">
        <f t="shared" si="11"/>
        <v/>
      </c>
      <c r="Q121" s="141" t="str">
        <f t="shared" si="12"/>
        <v/>
      </c>
      <c r="U121" s="141">
        <v>5141</v>
      </c>
      <c r="V121" s="141" t="s">
        <v>768</v>
      </c>
      <c r="X121" s="141" t="str">
        <f t="shared" si="13"/>
        <v>51</v>
      </c>
      <c r="Y121" s="141" t="str">
        <f t="shared" si="14"/>
        <v>514</v>
      </c>
      <c r="AA121" s="141" t="s">
        <v>1682</v>
      </c>
      <c r="AB121" s="141" t="s">
        <v>1683</v>
      </c>
    </row>
    <row r="122" spans="1:28">
      <c r="A122" s="151"/>
      <c r="B122" s="146" t="str">
        <f t="shared" si="8"/>
        <v/>
      </c>
      <c r="C122" s="151"/>
      <c r="D122" s="146" t="str">
        <f t="shared" si="9"/>
        <v/>
      </c>
      <c r="E122" s="186"/>
      <c r="F122" s="146" t="str">
        <f t="shared" si="10"/>
        <v/>
      </c>
      <c r="G122" s="185"/>
      <c r="H122" s="185"/>
      <c r="I122" s="185"/>
      <c r="J122" s="201"/>
      <c r="K122" s="200"/>
      <c r="L122" s="200"/>
      <c r="M122" s="201"/>
      <c r="N122" s="201"/>
      <c r="P122" s="141" t="str">
        <f t="shared" si="11"/>
        <v/>
      </c>
      <c r="Q122" s="141" t="str">
        <f t="shared" si="12"/>
        <v/>
      </c>
      <c r="U122" s="141">
        <v>5181</v>
      </c>
      <c r="V122" s="141" t="s">
        <v>769</v>
      </c>
      <c r="X122" s="141" t="str">
        <f t="shared" si="13"/>
        <v>51</v>
      </c>
      <c r="Y122" s="141" t="str">
        <f t="shared" si="14"/>
        <v>518</v>
      </c>
      <c r="AA122" s="141" t="s">
        <v>1684</v>
      </c>
      <c r="AB122" s="141" t="s">
        <v>1685</v>
      </c>
    </row>
    <row r="123" spans="1:28">
      <c r="A123" s="151"/>
      <c r="B123" s="146" t="str">
        <f t="shared" si="8"/>
        <v/>
      </c>
      <c r="C123" s="151"/>
      <c r="D123" s="146" t="str">
        <f t="shared" si="9"/>
        <v/>
      </c>
      <c r="E123" s="186"/>
      <c r="F123" s="146" t="str">
        <f t="shared" si="10"/>
        <v/>
      </c>
      <c r="G123" s="185"/>
      <c r="H123" s="185"/>
      <c r="I123" s="185"/>
      <c r="J123" s="201"/>
      <c r="K123" s="200"/>
      <c r="L123" s="200"/>
      <c r="M123" s="201"/>
      <c r="N123" s="201"/>
      <c r="P123" s="141" t="str">
        <f t="shared" si="11"/>
        <v/>
      </c>
      <c r="Q123" s="141" t="str">
        <f t="shared" si="12"/>
        <v/>
      </c>
      <c r="U123" s="141">
        <v>5183</v>
      </c>
      <c r="V123" s="141" t="s">
        <v>770</v>
      </c>
      <c r="X123" s="141" t="str">
        <f t="shared" si="13"/>
        <v>51</v>
      </c>
      <c r="Y123" s="141" t="str">
        <f t="shared" si="14"/>
        <v>518</v>
      </c>
      <c r="AA123" s="141" t="s">
        <v>1686</v>
      </c>
      <c r="AB123" s="141" t="s">
        <v>1687</v>
      </c>
    </row>
    <row r="124" spans="1:28">
      <c r="A124" s="151"/>
      <c r="B124" s="146" t="str">
        <f t="shared" si="8"/>
        <v/>
      </c>
      <c r="C124" s="151"/>
      <c r="D124" s="146" t="str">
        <f t="shared" si="9"/>
        <v/>
      </c>
      <c r="E124" s="186"/>
      <c r="F124" s="146" t="str">
        <f t="shared" si="10"/>
        <v/>
      </c>
      <c r="G124" s="185"/>
      <c r="H124" s="185"/>
      <c r="I124" s="185"/>
      <c r="J124" s="201"/>
      <c r="K124" s="200"/>
      <c r="L124" s="200"/>
      <c r="M124" s="201"/>
      <c r="N124" s="201"/>
      <c r="P124" s="141" t="str">
        <f t="shared" si="11"/>
        <v/>
      </c>
      <c r="Q124" s="141" t="str">
        <f t="shared" si="12"/>
        <v/>
      </c>
      <c r="U124" s="141">
        <v>5422</v>
      </c>
      <c r="V124" s="141" t="s">
        <v>771</v>
      </c>
      <c r="X124" s="141" t="str">
        <f t="shared" si="13"/>
        <v>54</v>
      </c>
      <c r="Y124" s="141" t="str">
        <f t="shared" si="14"/>
        <v>542</v>
      </c>
      <c r="AA124" s="141" t="s">
        <v>1688</v>
      </c>
      <c r="AB124" s="141" t="s">
        <v>1689</v>
      </c>
    </row>
    <row r="125" spans="1:28">
      <c r="A125" s="151"/>
      <c r="B125" s="146" t="str">
        <f t="shared" si="8"/>
        <v/>
      </c>
      <c r="C125" s="151"/>
      <c r="D125" s="146" t="str">
        <f t="shared" si="9"/>
        <v/>
      </c>
      <c r="E125" s="186"/>
      <c r="F125" s="146" t="str">
        <f t="shared" si="10"/>
        <v/>
      </c>
      <c r="G125" s="185"/>
      <c r="H125" s="185"/>
      <c r="I125" s="185"/>
      <c r="J125" s="201"/>
      <c r="K125" s="200"/>
      <c r="L125" s="200"/>
      <c r="M125" s="201"/>
      <c r="N125" s="201"/>
      <c r="P125" s="141" t="str">
        <f t="shared" si="11"/>
        <v/>
      </c>
      <c r="Q125" s="141" t="str">
        <f t="shared" si="12"/>
        <v/>
      </c>
      <c r="U125" s="141">
        <v>5431</v>
      </c>
      <c r="V125" s="141" t="s">
        <v>366</v>
      </c>
      <c r="X125" s="141" t="str">
        <f t="shared" si="13"/>
        <v>54</v>
      </c>
      <c r="Y125" s="141" t="str">
        <f t="shared" si="14"/>
        <v>543</v>
      </c>
      <c r="AA125" s="141" t="s">
        <v>1690</v>
      </c>
      <c r="AB125" s="141" t="s">
        <v>1691</v>
      </c>
    </row>
    <row r="126" spans="1:28">
      <c r="A126" s="151"/>
      <c r="B126" s="146" t="str">
        <f t="shared" si="8"/>
        <v/>
      </c>
      <c r="C126" s="151"/>
      <c r="D126" s="146" t="str">
        <f t="shared" si="9"/>
        <v/>
      </c>
      <c r="E126" s="186"/>
      <c r="F126" s="146" t="str">
        <f t="shared" si="10"/>
        <v/>
      </c>
      <c r="G126" s="185"/>
      <c r="H126" s="185"/>
      <c r="I126" s="185"/>
      <c r="J126" s="201"/>
      <c r="K126" s="200"/>
      <c r="L126" s="200"/>
      <c r="M126" s="201"/>
      <c r="N126" s="201"/>
      <c r="P126" s="141" t="str">
        <f t="shared" si="11"/>
        <v/>
      </c>
      <c r="Q126" s="141" t="str">
        <f t="shared" si="12"/>
        <v/>
      </c>
      <c r="U126" s="141">
        <v>5443</v>
      </c>
      <c r="V126" s="141" t="s">
        <v>772</v>
      </c>
      <c r="X126" s="141" t="str">
        <f t="shared" si="13"/>
        <v>54</v>
      </c>
      <c r="Y126" s="141" t="str">
        <f t="shared" si="14"/>
        <v>544</v>
      </c>
      <c r="AA126" s="141" t="s">
        <v>1692</v>
      </c>
      <c r="AB126" s="141" t="s">
        <v>1693</v>
      </c>
    </row>
    <row r="127" spans="1:28">
      <c r="A127" s="151"/>
      <c r="B127" s="146" t="str">
        <f t="shared" si="8"/>
        <v/>
      </c>
      <c r="C127" s="151"/>
      <c r="D127" s="146" t="str">
        <f t="shared" si="9"/>
        <v/>
      </c>
      <c r="E127" s="186"/>
      <c r="F127" s="146" t="str">
        <f t="shared" si="10"/>
        <v/>
      </c>
      <c r="G127" s="185"/>
      <c r="H127" s="185"/>
      <c r="I127" s="185"/>
      <c r="J127" s="201"/>
      <c r="K127" s="200"/>
      <c r="L127" s="200"/>
      <c r="M127" s="201"/>
      <c r="N127" s="201"/>
      <c r="P127" s="141" t="str">
        <f t="shared" si="11"/>
        <v/>
      </c>
      <c r="Q127" s="141" t="str">
        <f t="shared" si="12"/>
        <v/>
      </c>
      <c r="U127" s="141">
        <v>5445</v>
      </c>
      <c r="V127" s="141" t="s">
        <v>773</v>
      </c>
      <c r="X127" s="141" t="str">
        <f t="shared" si="13"/>
        <v>54</v>
      </c>
      <c r="Y127" s="141" t="str">
        <f t="shared" si="14"/>
        <v>544</v>
      </c>
      <c r="AA127" s="141" t="s">
        <v>1694</v>
      </c>
      <c r="AB127" s="141" t="s">
        <v>1695</v>
      </c>
    </row>
    <row r="128" spans="1:28">
      <c r="A128" s="151"/>
      <c r="B128" s="146" t="str">
        <f t="shared" si="8"/>
        <v/>
      </c>
      <c r="C128" s="151"/>
      <c r="D128" s="146" t="str">
        <f t="shared" si="9"/>
        <v/>
      </c>
      <c r="E128" s="186"/>
      <c r="F128" s="146" t="str">
        <f t="shared" si="10"/>
        <v/>
      </c>
      <c r="G128" s="185"/>
      <c r="H128" s="185"/>
      <c r="I128" s="185"/>
      <c r="J128" s="201"/>
      <c r="K128" s="200"/>
      <c r="L128" s="200"/>
      <c r="M128" s="201"/>
      <c r="N128" s="201"/>
      <c r="P128" s="141" t="str">
        <f t="shared" si="11"/>
        <v/>
      </c>
      <c r="Q128" s="141" t="str">
        <f t="shared" si="12"/>
        <v/>
      </c>
      <c r="U128" s="141">
        <v>5453</v>
      </c>
      <c r="V128" s="141" t="s">
        <v>774</v>
      </c>
      <c r="X128" s="141" t="str">
        <f t="shared" si="13"/>
        <v>54</v>
      </c>
      <c r="Y128" s="141" t="str">
        <f t="shared" si="14"/>
        <v>545</v>
      </c>
      <c r="AA128" s="141" t="s">
        <v>1696</v>
      </c>
      <c r="AB128" s="141" t="s">
        <v>1697</v>
      </c>
    </row>
    <row r="129" spans="1:28">
      <c r="A129" s="151"/>
      <c r="B129" s="146" t="str">
        <f t="shared" si="8"/>
        <v/>
      </c>
      <c r="C129" s="151"/>
      <c r="D129" s="146" t="str">
        <f t="shared" si="9"/>
        <v/>
      </c>
      <c r="E129" s="186"/>
      <c r="F129" s="146" t="str">
        <f t="shared" si="10"/>
        <v/>
      </c>
      <c r="G129" s="185"/>
      <c r="H129" s="185"/>
      <c r="I129" s="185"/>
      <c r="J129" s="201"/>
      <c r="K129" s="200"/>
      <c r="L129" s="200"/>
      <c r="M129" s="201"/>
      <c r="N129" s="201"/>
      <c r="P129" s="141" t="str">
        <f t="shared" si="11"/>
        <v/>
      </c>
      <c r="Q129" s="141" t="str">
        <f t="shared" si="12"/>
        <v/>
      </c>
      <c r="U129" s="141">
        <v>5472</v>
      </c>
      <c r="V129" s="141" t="s">
        <v>775</v>
      </c>
      <c r="X129" s="141" t="str">
        <f t="shared" si="13"/>
        <v>54</v>
      </c>
      <c r="Y129" s="141" t="str">
        <f t="shared" si="14"/>
        <v>547</v>
      </c>
      <c r="AA129" s="141" t="s">
        <v>1698</v>
      </c>
      <c r="AB129" s="141" t="s">
        <v>1699</v>
      </c>
    </row>
    <row r="130" spans="1:28">
      <c r="A130" s="151"/>
      <c r="B130" s="146" t="str">
        <f t="shared" si="8"/>
        <v/>
      </c>
      <c r="C130" s="151"/>
      <c r="D130" s="146" t="str">
        <f t="shared" si="9"/>
        <v/>
      </c>
      <c r="E130" s="186"/>
      <c r="F130" s="146" t="str">
        <f t="shared" si="10"/>
        <v/>
      </c>
      <c r="G130" s="185"/>
      <c r="H130" s="185"/>
      <c r="I130" s="185"/>
      <c r="J130" s="201"/>
      <c r="K130" s="200"/>
      <c r="L130" s="200"/>
      <c r="M130" s="201"/>
      <c r="N130" s="201"/>
      <c r="P130" s="141" t="str">
        <f t="shared" si="11"/>
        <v/>
      </c>
      <c r="Q130" s="141" t="str">
        <f t="shared" si="12"/>
        <v/>
      </c>
      <c r="AA130" s="141" t="s">
        <v>1700</v>
      </c>
      <c r="AB130" s="141" t="s">
        <v>1701</v>
      </c>
    </row>
    <row r="131" spans="1:28">
      <c r="A131" s="151"/>
      <c r="B131" s="146" t="str">
        <f t="shared" si="8"/>
        <v/>
      </c>
      <c r="C131" s="151"/>
      <c r="D131" s="146" t="str">
        <f t="shared" si="9"/>
        <v/>
      </c>
      <c r="E131" s="186"/>
      <c r="F131" s="146" t="str">
        <f t="shared" si="10"/>
        <v/>
      </c>
      <c r="G131" s="185"/>
      <c r="H131" s="185"/>
      <c r="I131" s="185"/>
      <c r="J131" s="201"/>
      <c r="K131" s="200"/>
      <c r="L131" s="200"/>
      <c r="M131" s="201"/>
      <c r="N131" s="201"/>
      <c r="P131" s="141" t="str">
        <f t="shared" si="11"/>
        <v/>
      </c>
      <c r="Q131" s="141" t="str">
        <f t="shared" si="12"/>
        <v/>
      </c>
      <c r="AA131" s="141" t="s">
        <v>892</v>
      </c>
      <c r="AB131" s="141" t="s">
        <v>893</v>
      </c>
    </row>
    <row r="132" spans="1:28">
      <c r="A132" s="151"/>
      <c r="B132" s="146" t="str">
        <f t="shared" ref="B132:B195" si="15">IFERROR(VLOOKUP(A132,$R$6:$S$23,2,FALSE),"")</f>
        <v/>
      </c>
      <c r="C132" s="151"/>
      <c r="D132" s="146" t="str">
        <f t="shared" ref="D132:D195" si="16">IFERROR(VLOOKUP(C132,$U$5:$W$129,2,FALSE),"")</f>
        <v/>
      </c>
      <c r="E132" s="186"/>
      <c r="F132" s="146" t="str">
        <f t="shared" ref="F132:F195" si="17">IFERROR(VLOOKUP(E132,$AA$5:$AB$500,2,FALSE),"")</f>
        <v/>
      </c>
      <c r="G132" s="185"/>
      <c r="H132" s="185"/>
      <c r="I132" s="185"/>
      <c r="J132" s="201"/>
      <c r="K132" s="200"/>
      <c r="L132" s="200"/>
      <c r="M132" s="201"/>
      <c r="N132" s="201"/>
      <c r="P132" s="141" t="str">
        <f t="shared" ref="P132:P195" si="18">LEFT(C132,3)</f>
        <v/>
      </c>
      <c r="Q132" s="141" t="str">
        <f t="shared" ref="Q132:Q195" si="19">LEFT(C132,2)</f>
        <v/>
      </c>
      <c r="AA132" s="141" t="s">
        <v>894</v>
      </c>
      <c r="AB132" s="141" t="s">
        <v>895</v>
      </c>
    </row>
    <row r="133" spans="1:28">
      <c r="A133" s="151"/>
      <c r="B133" s="146" t="str">
        <f t="shared" si="15"/>
        <v/>
      </c>
      <c r="C133" s="151"/>
      <c r="D133" s="146" t="str">
        <f t="shared" si="16"/>
        <v/>
      </c>
      <c r="E133" s="186"/>
      <c r="F133" s="146" t="str">
        <f t="shared" si="17"/>
        <v/>
      </c>
      <c r="G133" s="185"/>
      <c r="H133" s="185"/>
      <c r="I133" s="185"/>
      <c r="J133" s="201"/>
      <c r="K133" s="200"/>
      <c r="L133" s="200"/>
      <c r="M133" s="201"/>
      <c r="N133" s="201"/>
      <c r="P133" s="141" t="str">
        <f t="shared" si="18"/>
        <v/>
      </c>
      <c r="Q133" s="141" t="str">
        <f t="shared" si="19"/>
        <v/>
      </c>
      <c r="AA133" s="141" t="s">
        <v>896</v>
      </c>
      <c r="AB133" s="141" t="s">
        <v>897</v>
      </c>
    </row>
    <row r="134" spans="1:28">
      <c r="A134" s="151"/>
      <c r="B134" s="146" t="str">
        <f t="shared" si="15"/>
        <v/>
      </c>
      <c r="C134" s="151"/>
      <c r="D134" s="146" t="str">
        <f t="shared" si="16"/>
        <v/>
      </c>
      <c r="E134" s="186"/>
      <c r="F134" s="146" t="str">
        <f t="shared" si="17"/>
        <v/>
      </c>
      <c r="G134" s="185"/>
      <c r="H134" s="185"/>
      <c r="I134" s="185"/>
      <c r="J134" s="201"/>
      <c r="K134" s="200"/>
      <c r="L134" s="200"/>
      <c r="M134" s="201"/>
      <c r="N134" s="201"/>
      <c r="P134" s="141" t="str">
        <f t="shared" si="18"/>
        <v/>
      </c>
      <c r="Q134" s="141" t="str">
        <f t="shared" si="19"/>
        <v/>
      </c>
      <c r="AA134" s="141" t="s">
        <v>898</v>
      </c>
      <c r="AB134" s="141" t="s">
        <v>899</v>
      </c>
    </row>
    <row r="135" spans="1:28">
      <c r="A135" s="151"/>
      <c r="B135" s="146" t="str">
        <f t="shared" si="15"/>
        <v/>
      </c>
      <c r="C135" s="151"/>
      <c r="D135" s="146" t="str">
        <f t="shared" si="16"/>
        <v/>
      </c>
      <c r="E135" s="186"/>
      <c r="F135" s="146" t="str">
        <f t="shared" si="17"/>
        <v/>
      </c>
      <c r="G135" s="185"/>
      <c r="H135" s="185"/>
      <c r="I135" s="185"/>
      <c r="J135" s="201"/>
      <c r="K135" s="200"/>
      <c r="L135" s="200"/>
      <c r="M135" s="201"/>
      <c r="N135" s="201"/>
      <c r="P135" s="141" t="str">
        <f t="shared" si="18"/>
        <v/>
      </c>
      <c r="Q135" s="141" t="str">
        <f t="shared" si="19"/>
        <v/>
      </c>
      <c r="AA135" s="141" t="s">
        <v>900</v>
      </c>
      <c r="AB135" s="141" t="s">
        <v>901</v>
      </c>
    </row>
    <row r="136" spans="1:28">
      <c r="A136" s="151"/>
      <c r="B136" s="146" t="str">
        <f t="shared" si="15"/>
        <v/>
      </c>
      <c r="C136" s="151"/>
      <c r="D136" s="146" t="str">
        <f t="shared" si="16"/>
        <v/>
      </c>
      <c r="E136" s="186"/>
      <c r="F136" s="146" t="str">
        <f t="shared" si="17"/>
        <v/>
      </c>
      <c r="G136" s="185"/>
      <c r="H136" s="185"/>
      <c r="I136" s="185"/>
      <c r="J136" s="201"/>
      <c r="K136" s="200"/>
      <c r="L136" s="200"/>
      <c r="M136" s="201"/>
      <c r="N136" s="201"/>
      <c r="P136" s="141" t="str">
        <f t="shared" si="18"/>
        <v/>
      </c>
      <c r="Q136" s="141" t="str">
        <f t="shared" si="19"/>
        <v/>
      </c>
      <c r="AA136" s="141" t="s">
        <v>902</v>
      </c>
      <c r="AB136" s="141" t="s">
        <v>903</v>
      </c>
    </row>
    <row r="137" spans="1:28">
      <c r="A137" s="151"/>
      <c r="B137" s="146" t="str">
        <f t="shared" si="15"/>
        <v/>
      </c>
      <c r="C137" s="151"/>
      <c r="D137" s="146" t="str">
        <f t="shared" si="16"/>
        <v/>
      </c>
      <c r="E137" s="186"/>
      <c r="F137" s="146" t="str">
        <f t="shared" si="17"/>
        <v/>
      </c>
      <c r="G137" s="185"/>
      <c r="H137" s="185"/>
      <c r="I137" s="185"/>
      <c r="J137" s="201"/>
      <c r="K137" s="200"/>
      <c r="L137" s="200"/>
      <c r="M137" s="201"/>
      <c r="N137" s="201"/>
      <c r="P137" s="141" t="str">
        <f t="shared" si="18"/>
        <v/>
      </c>
      <c r="Q137" s="141" t="str">
        <f t="shared" si="19"/>
        <v/>
      </c>
      <c r="AA137" s="141" t="s">
        <v>904</v>
      </c>
      <c r="AB137" s="141" t="s">
        <v>905</v>
      </c>
    </row>
    <row r="138" spans="1:28">
      <c r="A138" s="151"/>
      <c r="B138" s="146" t="str">
        <f t="shared" si="15"/>
        <v/>
      </c>
      <c r="C138" s="151"/>
      <c r="D138" s="146" t="str">
        <f t="shared" si="16"/>
        <v/>
      </c>
      <c r="E138" s="186"/>
      <c r="F138" s="146" t="str">
        <f t="shared" si="17"/>
        <v/>
      </c>
      <c r="G138" s="185"/>
      <c r="H138" s="185"/>
      <c r="I138" s="185"/>
      <c r="J138" s="201"/>
      <c r="K138" s="200"/>
      <c r="L138" s="200"/>
      <c r="M138" s="201"/>
      <c r="N138" s="201"/>
      <c r="P138" s="141" t="str">
        <f t="shared" si="18"/>
        <v/>
      </c>
      <c r="Q138" s="141" t="str">
        <f t="shared" si="19"/>
        <v/>
      </c>
      <c r="AA138" s="141" t="s">
        <v>906</v>
      </c>
      <c r="AB138" s="141" t="s">
        <v>907</v>
      </c>
    </row>
    <row r="139" spans="1:28">
      <c r="A139" s="151"/>
      <c r="B139" s="146" t="str">
        <f t="shared" si="15"/>
        <v/>
      </c>
      <c r="C139" s="151"/>
      <c r="D139" s="146" t="str">
        <f t="shared" si="16"/>
        <v/>
      </c>
      <c r="E139" s="186"/>
      <c r="F139" s="146" t="str">
        <f t="shared" si="17"/>
        <v/>
      </c>
      <c r="G139" s="185"/>
      <c r="H139" s="185"/>
      <c r="I139" s="185"/>
      <c r="J139" s="201"/>
      <c r="K139" s="200"/>
      <c r="L139" s="200"/>
      <c r="M139" s="201"/>
      <c r="N139" s="201"/>
      <c r="P139" s="141" t="str">
        <f t="shared" si="18"/>
        <v/>
      </c>
      <c r="Q139" s="141" t="str">
        <f t="shared" si="19"/>
        <v/>
      </c>
      <c r="AA139" s="141" t="s">
        <v>1702</v>
      </c>
      <c r="AB139" s="141" t="s">
        <v>1703</v>
      </c>
    </row>
    <row r="140" spans="1:28">
      <c r="A140" s="151"/>
      <c r="B140" s="146" t="str">
        <f t="shared" si="15"/>
        <v/>
      </c>
      <c r="C140" s="151"/>
      <c r="D140" s="146" t="str">
        <f t="shared" si="16"/>
        <v/>
      </c>
      <c r="E140" s="186"/>
      <c r="F140" s="146" t="str">
        <f t="shared" si="17"/>
        <v/>
      </c>
      <c r="G140" s="185"/>
      <c r="H140" s="185"/>
      <c r="I140" s="185"/>
      <c r="J140" s="201"/>
      <c r="K140" s="200"/>
      <c r="L140" s="200"/>
      <c r="M140" s="201"/>
      <c r="N140" s="201"/>
      <c r="P140" s="141" t="str">
        <f t="shared" si="18"/>
        <v/>
      </c>
      <c r="Q140" s="141" t="str">
        <f t="shared" si="19"/>
        <v/>
      </c>
      <c r="AA140" s="141" t="s">
        <v>1704</v>
      </c>
      <c r="AB140" s="141" t="s">
        <v>1705</v>
      </c>
    </row>
    <row r="141" spans="1:28">
      <c r="A141" s="151"/>
      <c r="B141" s="146" t="str">
        <f t="shared" si="15"/>
        <v/>
      </c>
      <c r="C141" s="151"/>
      <c r="D141" s="146" t="str">
        <f t="shared" si="16"/>
        <v/>
      </c>
      <c r="E141" s="186"/>
      <c r="F141" s="146" t="str">
        <f t="shared" si="17"/>
        <v/>
      </c>
      <c r="G141" s="185"/>
      <c r="H141" s="185"/>
      <c r="I141" s="185"/>
      <c r="J141" s="201"/>
      <c r="K141" s="200"/>
      <c r="L141" s="200"/>
      <c r="M141" s="201"/>
      <c r="N141" s="201"/>
      <c r="P141" s="141" t="str">
        <f t="shared" si="18"/>
        <v/>
      </c>
      <c r="Q141" s="141" t="str">
        <f t="shared" si="19"/>
        <v/>
      </c>
      <c r="AA141" s="141" t="s">
        <v>1706</v>
      </c>
      <c r="AB141" s="141" t="s">
        <v>1707</v>
      </c>
    </row>
    <row r="142" spans="1:28">
      <c r="A142" s="151"/>
      <c r="B142" s="146" t="str">
        <f t="shared" si="15"/>
        <v/>
      </c>
      <c r="C142" s="151"/>
      <c r="D142" s="146" t="str">
        <f t="shared" si="16"/>
        <v/>
      </c>
      <c r="E142" s="186"/>
      <c r="F142" s="146" t="str">
        <f t="shared" si="17"/>
        <v/>
      </c>
      <c r="G142" s="185"/>
      <c r="H142" s="185"/>
      <c r="I142" s="185"/>
      <c r="J142" s="201"/>
      <c r="K142" s="200"/>
      <c r="L142" s="200"/>
      <c r="M142" s="201"/>
      <c r="N142" s="201"/>
      <c r="P142" s="141" t="str">
        <f t="shared" si="18"/>
        <v/>
      </c>
      <c r="Q142" s="141" t="str">
        <f t="shared" si="19"/>
        <v/>
      </c>
      <c r="AA142" s="141" t="s">
        <v>1708</v>
      </c>
      <c r="AB142" s="141" t="s">
        <v>1709</v>
      </c>
    </row>
    <row r="143" spans="1:28">
      <c r="A143" s="151"/>
      <c r="B143" s="146" t="str">
        <f t="shared" si="15"/>
        <v/>
      </c>
      <c r="C143" s="151"/>
      <c r="D143" s="146" t="str">
        <f t="shared" si="16"/>
        <v/>
      </c>
      <c r="E143" s="186"/>
      <c r="F143" s="146" t="str">
        <f t="shared" si="17"/>
        <v/>
      </c>
      <c r="G143" s="185"/>
      <c r="H143" s="185"/>
      <c r="I143" s="185"/>
      <c r="J143" s="201"/>
      <c r="K143" s="200"/>
      <c r="L143" s="200"/>
      <c r="M143" s="201"/>
      <c r="N143" s="201"/>
      <c r="P143" s="141" t="str">
        <f t="shared" si="18"/>
        <v/>
      </c>
      <c r="Q143" s="141" t="str">
        <f t="shared" si="19"/>
        <v/>
      </c>
      <c r="AA143" s="141" t="s">
        <v>1710</v>
      </c>
      <c r="AB143" s="141" t="s">
        <v>1711</v>
      </c>
    </row>
    <row r="144" spans="1:28">
      <c r="A144" s="151"/>
      <c r="B144" s="146" t="str">
        <f t="shared" si="15"/>
        <v/>
      </c>
      <c r="C144" s="151"/>
      <c r="D144" s="146" t="str">
        <f t="shared" si="16"/>
        <v/>
      </c>
      <c r="E144" s="186"/>
      <c r="F144" s="146" t="str">
        <f t="shared" si="17"/>
        <v/>
      </c>
      <c r="G144" s="185"/>
      <c r="H144" s="185"/>
      <c r="I144" s="185"/>
      <c r="J144" s="201"/>
      <c r="K144" s="200"/>
      <c r="L144" s="200"/>
      <c r="M144" s="201"/>
      <c r="N144" s="201"/>
      <c r="P144" s="141" t="str">
        <f t="shared" si="18"/>
        <v/>
      </c>
      <c r="Q144" s="141" t="str">
        <f t="shared" si="19"/>
        <v/>
      </c>
      <c r="AA144" s="141" t="s">
        <v>908</v>
      </c>
      <c r="AB144" s="141" t="s">
        <v>909</v>
      </c>
    </row>
    <row r="145" spans="1:28">
      <c r="A145" s="151"/>
      <c r="B145" s="146" t="str">
        <f t="shared" si="15"/>
        <v/>
      </c>
      <c r="C145" s="151"/>
      <c r="D145" s="146" t="str">
        <f t="shared" si="16"/>
        <v/>
      </c>
      <c r="E145" s="186"/>
      <c r="F145" s="146" t="str">
        <f t="shared" si="17"/>
        <v/>
      </c>
      <c r="G145" s="185"/>
      <c r="H145" s="185"/>
      <c r="I145" s="185"/>
      <c r="J145" s="201"/>
      <c r="K145" s="200"/>
      <c r="L145" s="200"/>
      <c r="M145" s="201"/>
      <c r="N145" s="201"/>
      <c r="P145" s="141" t="str">
        <f t="shared" si="18"/>
        <v/>
      </c>
      <c r="Q145" s="141" t="str">
        <f t="shared" si="19"/>
        <v/>
      </c>
      <c r="AA145" s="141" t="s">
        <v>910</v>
      </c>
      <c r="AB145" s="141" t="s">
        <v>911</v>
      </c>
    </row>
    <row r="146" spans="1:28">
      <c r="A146" s="151"/>
      <c r="B146" s="146" t="str">
        <f t="shared" si="15"/>
        <v/>
      </c>
      <c r="C146" s="151"/>
      <c r="D146" s="146" t="str">
        <f t="shared" si="16"/>
        <v/>
      </c>
      <c r="E146" s="186"/>
      <c r="F146" s="146" t="str">
        <f t="shared" si="17"/>
        <v/>
      </c>
      <c r="G146" s="185"/>
      <c r="H146" s="185"/>
      <c r="I146" s="185"/>
      <c r="J146" s="201"/>
      <c r="K146" s="200"/>
      <c r="L146" s="200"/>
      <c r="M146" s="201"/>
      <c r="N146" s="201"/>
      <c r="P146" s="141" t="str">
        <f t="shared" si="18"/>
        <v/>
      </c>
      <c r="Q146" s="141" t="str">
        <f t="shared" si="19"/>
        <v/>
      </c>
      <c r="AA146" s="141" t="s">
        <v>912</v>
      </c>
      <c r="AB146" s="141" t="s">
        <v>913</v>
      </c>
    </row>
    <row r="147" spans="1:28">
      <c r="A147" s="151"/>
      <c r="B147" s="146" t="str">
        <f t="shared" si="15"/>
        <v/>
      </c>
      <c r="C147" s="151"/>
      <c r="D147" s="146" t="str">
        <f t="shared" si="16"/>
        <v/>
      </c>
      <c r="E147" s="186"/>
      <c r="F147" s="146" t="str">
        <f t="shared" si="17"/>
        <v/>
      </c>
      <c r="G147" s="185"/>
      <c r="H147" s="185"/>
      <c r="I147" s="185"/>
      <c r="J147" s="201"/>
      <c r="K147" s="200"/>
      <c r="L147" s="200"/>
      <c r="M147" s="201"/>
      <c r="N147" s="201"/>
      <c r="P147" s="141" t="str">
        <f t="shared" si="18"/>
        <v/>
      </c>
      <c r="Q147" s="141" t="str">
        <f t="shared" si="19"/>
        <v/>
      </c>
      <c r="AA147" s="141" t="s">
        <v>914</v>
      </c>
      <c r="AB147" s="141" t="s">
        <v>915</v>
      </c>
    </row>
    <row r="148" spans="1:28">
      <c r="A148" s="151"/>
      <c r="B148" s="146" t="str">
        <f t="shared" si="15"/>
        <v/>
      </c>
      <c r="C148" s="151"/>
      <c r="D148" s="146" t="str">
        <f t="shared" si="16"/>
        <v/>
      </c>
      <c r="E148" s="186"/>
      <c r="F148" s="146" t="str">
        <f t="shared" si="17"/>
        <v/>
      </c>
      <c r="G148" s="185"/>
      <c r="H148" s="185"/>
      <c r="I148" s="185"/>
      <c r="J148" s="201"/>
      <c r="K148" s="200"/>
      <c r="L148" s="200"/>
      <c r="M148" s="201"/>
      <c r="N148" s="201"/>
      <c r="P148" s="141" t="str">
        <f t="shared" si="18"/>
        <v/>
      </c>
      <c r="Q148" s="141" t="str">
        <f t="shared" si="19"/>
        <v/>
      </c>
      <c r="AA148" s="141" t="s">
        <v>916</v>
      </c>
      <c r="AB148" s="141" t="s">
        <v>917</v>
      </c>
    </row>
    <row r="149" spans="1:28">
      <c r="A149" s="151"/>
      <c r="B149" s="146" t="str">
        <f t="shared" si="15"/>
        <v/>
      </c>
      <c r="C149" s="151"/>
      <c r="D149" s="146" t="str">
        <f t="shared" si="16"/>
        <v/>
      </c>
      <c r="E149" s="186"/>
      <c r="F149" s="146" t="str">
        <f t="shared" si="17"/>
        <v/>
      </c>
      <c r="G149" s="185"/>
      <c r="H149" s="185"/>
      <c r="I149" s="185"/>
      <c r="J149" s="201"/>
      <c r="K149" s="200"/>
      <c r="L149" s="200"/>
      <c r="M149" s="201"/>
      <c r="N149" s="201"/>
      <c r="P149" s="141" t="str">
        <f t="shared" si="18"/>
        <v/>
      </c>
      <c r="Q149" s="141" t="str">
        <f t="shared" si="19"/>
        <v/>
      </c>
      <c r="AA149" s="141" t="s">
        <v>918</v>
      </c>
      <c r="AB149" s="141" t="s">
        <v>919</v>
      </c>
    </row>
    <row r="150" spans="1:28">
      <c r="A150" s="151"/>
      <c r="B150" s="146" t="str">
        <f t="shared" si="15"/>
        <v/>
      </c>
      <c r="C150" s="151"/>
      <c r="D150" s="146" t="str">
        <f t="shared" si="16"/>
        <v/>
      </c>
      <c r="E150" s="186"/>
      <c r="F150" s="146" t="str">
        <f t="shared" si="17"/>
        <v/>
      </c>
      <c r="G150" s="185"/>
      <c r="H150" s="185"/>
      <c r="I150" s="185"/>
      <c r="J150" s="201"/>
      <c r="K150" s="200"/>
      <c r="L150" s="200"/>
      <c r="M150" s="201"/>
      <c r="N150" s="201"/>
      <c r="P150" s="141" t="str">
        <f t="shared" si="18"/>
        <v/>
      </c>
      <c r="Q150" s="141" t="str">
        <f t="shared" si="19"/>
        <v/>
      </c>
      <c r="AA150" s="141" t="s">
        <v>920</v>
      </c>
      <c r="AB150" s="141" t="s">
        <v>921</v>
      </c>
    </row>
    <row r="151" spans="1:28">
      <c r="A151" s="151"/>
      <c r="B151" s="146" t="str">
        <f t="shared" si="15"/>
        <v/>
      </c>
      <c r="C151" s="151"/>
      <c r="D151" s="146" t="str">
        <f t="shared" si="16"/>
        <v/>
      </c>
      <c r="E151" s="186"/>
      <c r="F151" s="146" t="str">
        <f t="shared" si="17"/>
        <v/>
      </c>
      <c r="G151" s="185"/>
      <c r="H151" s="185"/>
      <c r="I151" s="185"/>
      <c r="J151" s="201"/>
      <c r="K151" s="200"/>
      <c r="L151" s="200"/>
      <c r="M151" s="201"/>
      <c r="N151" s="201"/>
      <c r="P151" s="141" t="str">
        <f t="shared" si="18"/>
        <v/>
      </c>
      <c r="Q151" s="141" t="str">
        <f t="shared" si="19"/>
        <v/>
      </c>
      <c r="AA151" s="141" t="s">
        <v>922</v>
      </c>
      <c r="AB151" s="141" t="s">
        <v>923</v>
      </c>
    </row>
    <row r="152" spans="1:28">
      <c r="A152" s="151"/>
      <c r="B152" s="146" t="str">
        <f t="shared" si="15"/>
        <v/>
      </c>
      <c r="C152" s="151"/>
      <c r="D152" s="146" t="str">
        <f t="shared" si="16"/>
        <v/>
      </c>
      <c r="E152" s="186"/>
      <c r="F152" s="146" t="str">
        <f t="shared" si="17"/>
        <v/>
      </c>
      <c r="G152" s="185"/>
      <c r="H152" s="185"/>
      <c r="I152" s="185"/>
      <c r="J152" s="201"/>
      <c r="K152" s="200"/>
      <c r="L152" s="200"/>
      <c r="M152" s="201"/>
      <c r="N152" s="201"/>
      <c r="P152" s="141" t="str">
        <f t="shared" si="18"/>
        <v/>
      </c>
      <c r="Q152" s="141" t="str">
        <f t="shared" si="19"/>
        <v/>
      </c>
      <c r="AA152" s="141" t="s">
        <v>1712</v>
      </c>
      <c r="AB152" s="141" t="s">
        <v>1713</v>
      </c>
    </row>
    <row r="153" spans="1:28">
      <c r="A153" s="151"/>
      <c r="B153" s="146" t="str">
        <f t="shared" si="15"/>
        <v/>
      </c>
      <c r="C153" s="151"/>
      <c r="D153" s="146" t="str">
        <f t="shared" si="16"/>
        <v/>
      </c>
      <c r="E153" s="186"/>
      <c r="F153" s="146" t="str">
        <f t="shared" si="17"/>
        <v/>
      </c>
      <c r="G153" s="185"/>
      <c r="H153" s="185"/>
      <c r="I153" s="185"/>
      <c r="J153" s="201"/>
      <c r="K153" s="200"/>
      <c r="L153" s="200"/>
      <c r="M153" s="201"/>
      <c r="N153" s="201"/>
      <c r="P153" s="141" t="str">
        <f t="shared" si="18"/>
        <v/>
      </c>
      <c r="Q153" s="141" t="str">
        <f t="shared" si="19"/>
        <v/>
      </c>
      <c r="AA153" s="141" t="s">
        <v>1714</v>
      </c>
      <c r="AB153" s="141" t="s">
        <v>1715</v>
      </c>
    </row>
    <row r="154" spans="1:28">
      <c r="A154" s="151"/>
      <c r="B154" s="146" t="str">
        <f t="shared" si="15"/>
        <v/>
      </c>
      <c r="C154" s="151"/>
      <c r="D154" s="146" t="str">
        <f t="shared" si="16"/>
        <v/>
      </c>
      <c r="E154" s="186"/>
      <c r="F154" s="146" t="str">
        <f t="shared" si="17"/>
        <v/>
      </c>
      <c r="G154" s="185"/>
      <c r="H154" s="185"/>
      <c r="I154" s="185"/>
      <c r="J154" s="201"/>
      <c r="K154" s="200"/>
      <c r="L154" s="200"/>
      <c r="M154" s="201"/>
      <c r="N154" s="201"/>
      <c r="P154" s="141" t="str">
        <f t="shared" si="18"/>
        <v/>
      </c>
      <c r="Q154" s="141" t="str">
        <f t="shared" si="19"/>
        <v/>
      </c>
      <c r="AA154" s="141" t="s">
        <v>924</v>
      </c>
      <c r="AB154" s="141" t="s">
        <v>925</v>
      </c>
    </row>
    <row r="155" spans="1:28">
      <c r="A155" s="151"/>
      <c r="B155" s="146" t="str">
        <f t="shared" si="15"/>
        <v/>
      </c>
      <c r="C155" s="151"/>
      <c r="D155" s="146" t="str">
        <f t="shared" si="16"/>
        <v/>
      </c>
      <c r="E155" s="186"/>
      <c r="F155" s="146" t="str">
        <f t="shared" si="17"/>
        <v/>
      </c>
      <c r="G155" s="185"/>
      <c r="H155" s="185"/>
      <c r="I155" s="185"/>
      <c r="J155" s="201"/>
      <c r="K155" s="200"/>
      <c r="L155" s="200"/>
      <c r="M155" s="201"/>
      <c r="N155" s="201"/>
      <c r="P155" s="141" t="str">
        <f t="shared" si="18"/>
        <v/>
      </c>
      <c r="Q155" s="141" t="str">
        <f t="shared" si="19"/>
        <v/>
      </c>
      <c r="AA155" s="141" t="s">
        <v>926</v>
      </c>
      <c r="AB155" s="141" t="s">
        <v>927</v>
      </c>
    </row>
    <row r="156" spans="1:28">
      <c r="A156" s="151"/>
      <c r="B156" s="146" t="str">
        <f t="shared" si="15"/>
        <v/>
      </c>
      <c r="C156" s="151"/>
      <c r="D156" s="146" t="str">
        <f t="shared" si="16"/>
        <v/>
      </c>
      <c r="E156" s="186"/>
      <c r="F156" s="146" t="str">
        <f t="shared" si="17"/>
        <v/>
      </c>
      <c r="G156" s="185"/>
      <c r="H156" s="185"/>
      <c r="I156" s="185"/>
      <c r="J156" s="201"/>
      <c r="K156" s="200"/>
      <c r="L156" s="200"/>
      <c r="M156" s="201"/>
      <c r="N156" s="201"/>
      <c r="P156" s="141" t="str">
        <f t="shared" si="18"/>
        <v/>
      </c>
      <c r="Q156" s="141" t="str">
        <f t="shared" si="19"/>
        <v/>
      </c>
      <c r="AA156" s="141" t="s">
        <v>928</v>
      </c>
      <c r="AB156" s="141" t="s">
        <v>929</v>
      </c>
    </row>
    <row r="157" spans="1:28">
      <c r="A157" s="151"/>
      <c r="B157" s="146" t="str">
        <f t="shared" si="15"/>
        <v/>
      </c>
      <c r="C157" s="151"/>
      <c r="D157" s="146" t="str">
        <f t="shared" si="16"/>
        <v/>
      </c>
      <c r="E157" s="186"/>
      <c r="F157" s="146" t="str">
        <f t="shared" si="17"/>
        <v/>
      </c>
      <c r="G157" s="185"/>
      <c r="H157" s="185"/>
      <c r="I157" s="185"/>
      <c r="J157" s="201"/>
      <c r="K157" s="200"/>
      <c r="L157" s="200"/>
      <c r="M157" s="201"/>
      <c r="N157" s="201"/>
      <c r="P157" s="141" t="str">
        <f t="shared" si="18"/>
        <v/>
      </c>
      <c r="Q157" s="141" t="str">
        <f t="shared" si="19"/>
        <v/>
      </c>
      <c r="AA157" s="141" t="s">
        <v>930</v>
      </c>
      <c r="AB157" s="141" t="s">
        <v>931</v>
      </c>
    </row>
    <row r="158" spans="1:28">
      <c r="A158" s="151"/>
      <c r="B158" s="146" t="str">
        <f t="shared" si="15"/>
        <v/>
      </c>
      <c r="C158" s="151"/>
      <c r="D158" s="146" t="str">
        <f t="shared" si="16"/>
        <v/>
      </c>
      <c r="E158" s="186"/>
      <c r="F158" s="146" t="str">
        <f t="shared" si="17"/>
        <v/>
      </c>
      <c r="G158" s="185"/>
      <c r="H158" s="185"/>
      <c r="I158" s="185"/>
      <c r="J158" s="201"/>
      <c r="K158" s="200"/>
      <c r="L158" s="200"/>
      <c r="M158" s="201"/>
      <c r="N158" s="201"/>
      <c r="P158" s="141" t="str">
        <f t="shared" si="18"/>
        <v/>
      </c>
      <c r="Q158" s="141" t="str">
        <f t="shared" si="19"/>
        <v/>
      </c>
      <c r="AA158" s="141" t="s">
        <v>932</v>
      </c>
      <c r="AB158" s="141" t="s">
        <v>933</v>
      </c>
    </row>
    <row r="159" spans="1:28">
      <c r="A159" s="151"/>
      <c r="B159" s="146" t="str">
        <f t="shared" si="15"/>
        <v/>
      </c>
      <c r="C159" s="151"/>
      <c r="D159" s="146" t="str">
        <f t="shared" si="16"/>
        <v/>
      </c>
      <c r="E159" s="186"/>
      <c r="F159" s="146" t="str">
        <f t="shared" si="17"/>
        <v/>
      </c>
      <c r="G159" s="185"/>
      <c r="H159" s="185"/>
      <c r="I159" s="185"/>
      <c r="J159" s="201"/>
      <c r="K159" s="200"/>
      <c r="L159" s="200"/>
      <c r="M159" s="201"/>
      <c r="N159" s="201"/>
      <c r="P159" s="141" t="str">
        <f t="shared" si="18"/>
        <v/>
      </c>
      <c r="Q159" s="141" t="str">
        <f t="shared" si="19"/>
        <v/>
      </c>
      <c r="AA159" s="141" t="s">
        <v>934</v>
      </c>
      <c r="AB159" s="141" t="s">
        <v>935</v>
      </c>
    </row>
    <row r="160" spans="1:28">
      <c r="A160" s="151"/>
      <c r="B160" s="146" t="str">
        <f t="shared" si="15"/>
        <v/>
      </c>
      <c r="C160" s="151"/>
      <c r="D160" s="146" t="str">
        <f t="shared" si="16"/>
        <v/>
      </c>
      <c r="E160" s="186"/>
      <c r="F160" s="146" t="str">
        <f t="shared" si="17"/>
        <v/>
      </c>
      <c r="G160" s="185"/>
      <c r="H160" s="185"/>
      <c r="I160" s="185"/>
      <c r="J160" s="201"/>
      <c r="K160" s="200"/>
      <c r="L160" s="200"/>
      <c r="M160" s="201"/>
      <c r="N160" s="201"/>
      <c r="P160" s="141" t="str">
        <f t="shared" si="18"/>
        <v/>
      </c>
      <c r="Q160" s="141" t="str">
        <f t="shared" si="19"/>
        <v/>
      </c>
      <c r="AA160" s="141" t="s">
        <v>936</v>
      </c>
      <c r="AB160" s="141" t="s">
        <v>937</v>
      </c>
    </row>
    <row r="161" spans="1:28">
      <c r="A161" s="151"/>
      <c r="B161" s="146" t="str">
        <f t="shared" si="15"/>
        <v/>
      </c>
      <c r="C161" s="151"/>
      <c r="D161" s="146" t="str">
        <f t="shared" si="16"/>
        <v/>
      </c>
      <c r="E161" s="186"/>
      <c r="F161" s="146" t="str">
        <f t="shared" si="17"/>
        <v/>
      </c>
      <c r="G161" s="185"/>
      <c r="H161" s="185"/>
      <c r="I161" s="185"/>
      <c r="J161" s="201"/>
      <c r="K161" s="200"/>
      <c r="L161" s="200"/>
      <c r="M161" s="201"/>
      <c r="N161" s="201"/>
      <c r="P161" s="141" t="str">
        <f t="shared" si="18"/>
        <v/>
      </c>
      <c r="Q161" s="141" t="str">
        <f t="shared" si="19"/>
        <v/>
      </c>
      <c r="AA161" s="141" t="s">
        <v>938</v>
      </c>
      <c r="AB161" s="141" t="s">
        <v>939</v>
      </c>
    </row>
    <row r="162" spans="1:28">
      <c r="A162" s="151"/>
      <c r="B162" s="146" t="str">
        <f t="shared" si="15"/>
        <v/>
      </c>
      <c r="C162" s="151"/>
      <c r="D162" s="146" t="str">
        <f t="shared" si="16"/>
        <v/>
      </c>
      <c r="E162" s="186"/>
      <c r="F162" s="146" t="str">
        <f t="shared" si="17"/>
        <v/>
      </c>
      <c r="G162" s="185"/>
      <c r="H162" s="185"/>
      <c r="I162" s="185"/>
      <c r="J162" s="201"/>
      <c r="K162" s="200"/>
      <c r="L162" s="200"/>
      <c r="M162" s="201"/>
      <c r="N162" s="201"/>
      <c r="P162" s="141" t="str">
        <f t="shared" si="18"/>
        <v/>
      </c>
      <c r="Q162" s="141" t="str">
        <f t="shared" si="19"/>
        <v/>
      </c>
      <c r="AA162" s="141" t="s">
        <v>940</v>
      </c>
      <c r="AB162" s="141" t="s">
        <v>941</v>
      </c>
    </row>
    <row r="163" spans="1:28">
      <c r="A163" s="151"/>
      <c r="B163" s="146" t="str">
        <f t="shared" si="15"/>
        <v/>
      </c>
      <c r="C163" s="151"/>
      <c r="D163" s="146" t="str">
        <f t="shared" si="16"/>
        <v/>
      </c>
      <c r="E163" s="186"/>
      <c r="F163" s="146" t="str">
        <f t="shared" si="17"/>
        <v/>
      </c>
      <c r="G163" s="185"/>
      <c r="H163" s="185"/>
      <c r="I163" s="185"/>
      <c r="J163" s="201"/>
      <c r="K163" s="200"/>
      <c r="L163" s="200"/>
      <c r="M163" s="201"/>
      <c r="N163" s="201"/>
      <c r="P163" s="141" t="str">
        <f t="shared" si="18"/>
        <v/>
      </c>
      <c r="Q163" s="141" t="str">
        <f t="shared" si="19"/>
        <v/>
      </c>
      <c r="AA163" s="141" t="s">
        <v>942</v>
      </c>
      <c r="AB163" s="141" t="s">
        <v>943</v>
      </c>
    </row>
    <row r="164" spans="1:28">
      <c r="A164" s="151"/>
      <c r="B164" s="146" t="str">
        <f t="shared" si="15"/>
        <v/>
      </c>
      <c r="C164" s="151"/>
      <c r="D164" s="146" t="str">
        <f t="shared" si="16"/>
        <v/>
      </c>
      <c r="E164" s="186"/>
      <c r="F164" s="146" t="str">
        <f t="shared" si="17"/>
        <v/>
      </c>
      <c r="G164" s="185"/>
      <c r="H164" s="185"/>
      <c r="I164" s="185"/>
      <c r="J164" s="201"/>
      <c r="K164" s="200"/>
      <c r="L164" s="200"/>
      <c r="M164" s="201"/>
      <c r="N164" s="201"/>
      <c r="P164" s="141" t="str">
        <f t="shared" si="18"/>
        <v/>
      </c>
      <c r="Q164" s="141" t="str">
        <f t="shared" si="19"/>
        <v/>
      </c>
      <c r="AA164" s="141" t="s">
        <v>944</v>
      </c>
      <c r="AB164" s="141" t="s">
        <v>945</v>
      </c>
    </row>
    <row r="165" spans="1:28">
      <c r="A165" s="151"/>
      <c r="B165" s="146" t="str">
        <f t="shared" si="15"/>
        <v/>
      </c>
      <c r="C165" s="151"/>
      <c r="D165" s="146" t="str">
        <f t="shared" si="16"/>
        <v/>
      </c>
      <c r="E165" s="186"/>
      <c r="F165" s="146" t="str">
        <f t="shared" si="17"/>
        <v/>
      </c>
      <c r="G165" s="185"/>
      <c r="H165" s="185"/>
      <c r="I165" s="185"/>
      <c r="J165" s="201"/>
      <c r="K165" s="200"/>
      <c r="L165" s="200"/>
      <c r="M165" s="201"/>
      <c r="N165" s="201"/>
      <c r="P165" s="141" t="str">
        <f t="shared" si="18"/>
        <v/>
      </c>
      <c r="Q165" s="141" t="str">
        <f t="shared" si="19"/>
        <v/>
      </c>
      <c r="AA165" s="141" t="s">
        <v>946</v>
      </c>
      <c r="AB165" s="141" t="s">
        <v>947</v>
      </c>
    </row>
    <row r="166" spans="1:28">
      <c r="A166" s="151"/>
      <c r="B166" s="146" t="str">
        <f t="shared" si="15"/>
        <v/>
      </c>
      <c r="C166" s="151"/>
      <c r="D166" s="146" t="str">
        <f t="shared" si="16"/>
        <v/>
      </c>
      <c r="E166" s="186"/>
      <c r="F166" s="146" t="str">
        <f t="shared" si="17"/>
        <v/>
      </c>
      <c r="G166" s="185"/>
      <c r="H166" s="185"/>
      <c r="I166" s="185"/>
      <c r="J166" s="201"/>
      <c r="K166" s="200"/>
      <c r="L166" s="200"/>
      <c r="M166" s="201"/>
      <c r="N166" s="201"/>
      <c r="P166" s="141" t="str">
        <f t="shared" si="18"/>
        <v/>
      </c>
      <c r="Q166" s="141" t="str">
        <f t="shared" si="19"/>
        <v/>
      </c>
      <c r="AA166" s="141" t="s">
        <v>948</v>
      </c>
      <c r="AB166" s="141" t="s">
        <v>949</v>
      </c>
    </row>
    <row r="167" spans="1:28">
      <c r="A167" s="151"/>
      <c r="B167" s="146" t="str">
        <f t="shared" si="15"/>
        <v/>
      </c>
      <c r="C167" s="151"/>
      <c r="D167" s="146" t="str">
        <f t="shared" si="16"/>
        <v/>
      </c>
      <c r="E167" s="186"/>
      <c r="F167" s="146" t="str">
        <f t="shared" si="17"/>
        <v/>
      </c>
      <c r="G167" s="185"/>
      <c r="H167" s="185"/>
      <c r="I167" s="185"/>
      <c r="J167" s="201"/>
      <c r="K167" s="200"/>
      <c r="L167" s="200"/>
      <c r="M167" s="201"/>
      <c r="N167" s="201"/>
      <c r="P167" s="141" t="str">
        <f t="shared" si="18"/>
        <v/>
      </c>
      <c r="Q167" s="141" t="str">
        <f t="shared" si="19"/>
        <v/>
      </c>
      <c r="AA167" s="141" t="s">
        <v>950</v>
      </c>
      <c r="AB167" s="141" t="s">
        <v>951</v>
      </c>
    </row>
    <row r="168" spans="1:28">
      <c r="A168" s="151"/>
      <c r="B168" s="146" t="str">
        <f t="shared" si="15"/>
        <v/>
      </c>
      <c r="C168" s="151"/>
      <c r="D168" s="146" t="str">
        <f t="shared" si="16"/>
        <v/>
      </c>
      <c r="E168" s="186"/>
      <c r="F168" s="146" t="str">
        <f t="shared" si="17"/>
        <v/>
      </c>
      <c r="G168" s="185"/>
      <c r="H168" s="185"/>
      <c r="I168" s="185"/>
      <c r="J168" s="201"/>
      <c r="K168" s="200"/>
      <c r="L168" s="200"/>
      <c r="M168" s="201"/>
      <c r="N168" s="201"/>
      <c r="P168" s="141" t="str">
        <f t="shared" si="18"/>
        <v/>
      </c>
      <c r="Q168" s="141" t="str">
        <f t="shared" si="19"/>
        <v/>
      </c>
      <c r="AA168" s="141" t="s">
        <v>952</v>
      </c>
      <c r="AB168" s="141" t="s">
        <v>953</v>
      </c>
    </row>
    <row r="169" spans="1:28">
      <c r="A169" s="151"/>
      <c r="B169" s="146" t="str">
        <f t="shared" si="15"/>
        <v/>
      </c>
      <c r="C169" s="151"/>
      <c r="D169" s="146" t="str">
        <f t="shared" si="16"/>
        <v/>
      </c>
      <c r="E169" s="186"/>
      <c r="F169" s="146" t="str">
        <f t="shared" si="17"/>
        <v/>
      </c>
      <c r="G169" s="185"/>
      <c r="H169" s="185"/>
      <c r="I169" s="185"/>
      <c r="J169" s="201"/>
      <c r="K169" s="200"/>
      <c r="L169" s="200"/>
      <c r="M169" s="201"/>
      <c r="N169" s="201"/>
      <c r="P169" s="141" t="str">
        <f t="shared" si="18"/>
        <v/>
      </c>
      <c r="Q169" s="141" t="str">
        <f t="shared" si="19"/>
        <v/>
      </c>
      <c r="AA169" s="141" t="s">
        <v>954</v>
      </c>
      <c r="AB169" s="141" t="s">
        <v>955</v>
      </c>
    </row>
    <row r="170" spans="1:28">
      <c r="A170" s="151"/>
      <c r="B170" s="146" t="str">
        <f t="shared" si="15"/>
        <v/>
      </c>
      <c r="C170" s="151"/>
      <c r="D170" s="146" t="str">
        <f t="shared" si="16"/>
        <v/>
      </c>
      <c r="E170" s="186"/>
      <c r="F170" s="146" t="str">
        <f t="shared" si="17"/>
        <v/>
      </c>
      <c r="G170" s="185"/>
      <c r="H170" s="185"/>
      <c r="I170" s="185"/>
      <c r="J170" s="201"/>
      <c r="K170" s="200"/>
      <c r="L170" s="200"/>
      <c r="M170" s="201"/>
      <c r="N170" s="201"/>
      <c r="P170" s="141" t="str">
        <f t="shared" si="18"/>
        <v/>
      </c>
      <c r="Q170" s="141" t="str">
        <f t="shared" si="19"/>
        <v/>
      </c>
      <c r="AA170" s="141" t="s">
        <v>956</v>
      </c>
      <c r="AB170" s="141" t="s">
        <v>957</v>
      </c>
    </row>
    <row r="171" spans="1:28">
      <c r="A171" s="151"/>
      <c r="B171" s="146" t="str">
        <f t="shared" si="15"/>
        <v/>
      </c>
      <c r="C171" s="151"/>
      <c r="D171" s="146" t="str">
        <f t="shared" si="16"/>
        <v/>
      </c>
      <c r="E171" s="186"/>
      <c r="F171" s="146" t="str">
        <f t="shared" si="17"/>
        <v/>
      </c>
      <c r="G171" s="185"/>
      <c r="H171" s="185"/>
      <c r="I171" s="185"/>
      <c r="J171" s="201"/>
      <c r="K171" s="200"/>
      <c r="L171" s="200"/>
      <c r="M171" s="201"/>
      <c r="N171" s="201"/>
      <c r="P171" s="141" t="str">
        <f t="shared" si="18"/>
        <v/>
      </c>
      <c r="Q171" s="141" t="str">
        <f t="shared" si="19"/>
        <v/>
      </c>
      <c r="AA171" s="141" t="s">
        <v>958</v>
      </c>
      <c r="AB171" s="141" t="s">
        <v>959</v>
      </c>
    </row>
    <row r="172" spans="1:28">
      <c r="A172" s="151"/>
      <c r="B172" s="146" t="str">
        <f t="shared" si="15"/>
        <v/>
      </c>
      <c r="C172" s="151"/>
      <c r="D172" s="146" t="str">
        <f t="shared" si="16"/>
        <v/>
      </c>
      <c r="E172" s="186"/>
      <c r="F172" s="146" t="str">
        <f t="shared" si="17"/>
        <v/>
      </c>
      <c r="G172" s="185"/>
      <c r="H172" s="185"/>
      <c r="I172" s="185"/>
      <c r="J172" s="201"/>
      <c r="K172" s="200"/>
      <c r="L172" s="200"/>
      <c r="M172" s="201"/>
      <c r="N172" s="201"/>
      <c r="P172" s="141" t="str">
        <f t="shared" si="18"/>
        <v/>
      </c>
      <c r="Q172" s="141" t="str">
        <f t="shared" si="19"/>
        <v/>
      </c>
      <c r="AA172" s="141" t="s">
        <v>960</v>
      </c>
      <c r="AB172" s="141" t="s">
        <v>961</v>
      </c>
    </row>
    <row r="173" spans="1:28">
      <c r="A173" s="151"/>
      <c r="B173" s="146" t="str">
        <f t="shared" si="15"/>
        <v/>
      </c>
      <c r="C173" s="151"/>
      <c r="D173" s="146" t="str">
        <f t="shared" si="16"/>
        <v/>
      </c>
      <c r="E173" s="186"/>
      <c r="F173" s="146" t="str">
        <f t="shared" si="17"/>
        <v/>
      </c>
      <c r="G173" s="185"/>
      <c r="H173" s="185"/>
      <c r="I173" s="185"/>
      <c r="J173" s="201"/>
      <c r="K173" s="200"/>
      <c r="L173" s="200"/>
      <c r="M173" s="201"/>
      <c r="N173" s="201"/>
      <c r="P173" s="141" t="str">
        <f t="shared" si="18"/>
        <v/>
      </c>
      <c r="Q173" s="141" t="str">
        <f t="shared" si="19"/>
        <v/>
      </c>
      <c r="AA173" s="141" t="s">
        <v>962</v>
      </c>
      <c r="AB173" s="141" t="s">
        <v>963</v>
      </c>
    </row>
    <row r="174" spans="1:28">
      <c r="A174" s="151"/>
      <c r="B174" s="146" t="str">
        <f t="shared" si="15"/>
        <v/>
      </c>
      <c r="C174" s="151"/>
      <c r="D174" s="146" t="str">
        <f t="shared" si="16"/>
        <v/>
      </c>
      <c r="E174" s="186"/>
      <c r="F174" s="146" t="str">
        <f t="shared" si="17"/>
        <v/>
      </c>
      <c r="G174" s="185"/>
      <c r="H174" s="185"/>
      <c r="I174" s="185"/>
      <c r="J174" s="201"/>
      <c r="K174" s="200"/>
      <c r="L174" s="200"/>
      <c r="M174" s="201"/>
      <c r="N174" s="201"/>
      <c r="P174" s="141" t="str">
        <f t="shared" si="18"/>
        <v/>
      </c>
      <c r="Q174" s="141" t="str">
        <f t="shared" si="19"/>
        <v/>
      </c>
      <c r="AA174" s="141" t="s">
        <v>964</v>
      </c>
      <c r="AB174" s="141" t="s">
        <v>965</v>
      </c>
    </row>
    <row r="175" spans="1:28">
      <c r="A175" s="151"/>
      <c r="B175" s="146" t="str">
        <f t="shared" si="15"/>
        <v/>
      </c>
      <c r="C175" s="151"/>
      <c r="D175" s="146" t="str">
        <f t="shared" si="16"/>
        <v/>
      </c>
      <c r="E175" s="186"/>
      <c r="F175" s="146" t="str">
        <f t="shared" si="17"/>
        <v/>
      </c>
      <c r="G175" s="185"/>
      <c r="H175" s="185"/>
      <c r="I175" s="185"/>
      <c r="J175" s="201"/>
      <c r="K175" s="200"/>
      <c r="L175" s="200"/>
      <c r="M175" s="201"/>
      <c r="N175" s="201"/>
      <c r="P175" s="141" t="str">
        <f t="shared" si="18"/>
        <v/>
      </c>
      <c r="Q175" s="141" t="str">
        <f t="shared" si="19"/>
        <v/>
      </c>
      <c r="AA175" s="141" t="s">
        <v>966</v>
      </c>
      <c r="AB175" s="141" t="s">
        <v>967</v>
      </c>
    </row>
    <row r="176" spans="1:28">
      <c r="A176" s="151"/>
      <c r="B176" s="146" t="str">
        <f t="shared" si="15"/>
        <v/>
      </c>
      <c r="C176" s="151"/>
      <c r="D176" s="146" t="str">
        <f t="shared" si="16"/>
        <v/>
      </c>
      <c r="E176" s="186"/>
      <c r="F176" s="146" t="str">
        <f t="shared" si="17"/>
        <v/>
      </c>
      <c r="G176" s="185"/>
      <c r="H176" s="185"/>
      <c r="I176" s="185"/>
      <c r="J176" s="201"/>
      <c r="K176" s="200"/>
      <c r="L176" s="200"/>
      <c r="M176" s="201"/>
      <c r="N176" s="201"/>
      <c r="P176" s="141" t="str">
        <f t="shared" si="18"/>
        <v/>
      </c>
      <c r="Q176" s="141" t="str">
        <f t="shared" si="19"/>
        <v/>
      </c>
      <c r="AA176" s="141" t="s">
        <v>968</v>
      </c>
      <c r="AB176" s="141" t="s">
        <v>969</v>
      </c>
    </row>
    <row r="177" spans="1:28">
      <c r="A177" s="151"/>
      <c r="B177" s="146" t="str">
        <f t="shared" si="15"/>
        <v/>
      </c>
      <c r="C177" s="151"/>
      <c r="D177" s="146" t="str">
        <f t="shared" si="16"/>
        <v/>
      </c>
      <c r="E177" s="186"/>
      <c r="F177" s="146" t="str">
        <f t="shared" si="17"/>
        <v/>
      </c>
      <c r="G177" s="185"/>
      <c r="H177" s="185"/>
      <c r="I177" s="185"/>
      <c r="J177" s="201"/>
      <c r="K177" s="200"/>
      <c r="L177" s="200"/>
      <c r="M177" s="201"/>
      <c r="N177" s="201"/>
      <c r="P177" s="141" t="str">
        <f t="shared" si="18"/>
        <v/>
      </c>
      <c r="Q177" s="141" t="str">
        <f t="shared" si="19"/>
        <v/>
      </c>
      <c r="AA177" s="141" t="s">
        <v>970</v>
      </c>
      <c r="AB177" s="141" t="s">
        <v>971</v>
      </c>
    </row>
    <row r="178" spans="1:28">
      <c r="A178" s="151"/>
      <c r="B178" s="146" t="str">
        <f t="shared" si="15"/>
        <v/>
      </c>
      <c r="C178" s="151"/>
      <c r="D178" s="146" t="str">
        <f t="shared" si="16"/>
        <v/>
      </c>
      <c r="E178" s="186"/>
      <c r="F178" s="146" t="str">
        <f t="shared" si="17"/>
        <v/>
      </c>
      <c r="G178" s="185"/>
      <c r="H178" s="185"/>
      <c r="I178" s="185"/>
      <c r="J178" s="201"/>
      <c r="K178" s="200"/>
      <c r="L178" s="200"/>
      <c r="M178" s="201"/>
      <c r="N178" s="201"/>
      <c r="P178" s="141" t="str">
        <f t="shared" si="18"/>
        <v/>
      </c>
      <c r="Q178" s="141" t="str">
        <f t="shared" si="19"/>
        <v/>
      </c>
      <c r="AA178" s="141" t="s">
        <v>972</v>
      </c>
      <c r="AB178" s="141" t="s">
        <v>973</v>
      </c>
    </row>
    <row r="179" spans="1:28">
      <c r="A179" s="151"/>
      <c r="B179" s="146" t="str">
        <f t="shared" si="15"/>
        <v/>
      </c>
      <c r="C179" s="151"/>
      <c r="D179" s="146" t="str">
        <f t="shared" si="16"/>
        <v/>
      </c>
      <c r="E179" s="186"/>
      <c r="F179" s="146" t="str">
        <f t="shared" si="17"/>
        <v/>
      </c>
      <c r="G179" s="185"/>
      <c r="H179" s="185"/>
      <c r="I179" s="185"/>
      <c r="J179" s="201"/>
      <c r="K179" s="200"/>
      <c r="L179" s="200"/>
      <c r="M179" s="201"/>
      <c r="N179" s="201"/>
      <c r="P179" s="141" t="str">
        <f t="shared" si="18"/>
        <v/>
      </c>
      <c r="Q179" s="141" t="str">
        <f t="shared" si="19"/>
        <v/>
      </c>
      <c r="AA179" s="141" t="s">
        <v>974</v>
      </c>
      <c r="AB179" s="141" t="s">
        <v>975</v>
      </c>
    </row>
    <row r="180" spans="1:28">
      <c r="A180" s="151"/>
      <c r="B180" s="146" t="str">
        <f t="shared" si="15"/>
        <v/>
      </c>
      <c r="C180" s="151"/>
      <c r="D180" s="146" t="str">
        <f t="shared" si="16"/>
        <v/>
      </c>
      <c r="E180" s="186"/>
      <c r="F180" s="146" t="str">
        <f t="shared" si="17"/>
        <v/>
      </c>
      <c r="G180" s="185"/>
      <c r="H180" s="185"/>
      <c r="I180" s="185"/>
      <c r="J180" s="201"/>
      <c r="K180" s="200"/>
      <c r="L180" s="200"/>
      <c r="M180" s="201"/>
      <c r="N180" s="201"/>
      <c r="P180" s="141" t="str">
        <f t="shared" si="18"/>
        <v/>
      </c>
      <c r="Q180" s="141" t="str">
        <f t="shared" si="19"/>
        <v/>
      </c>
      <c r="AA180" s="141" t="s">
        <v>976</v>
      </c>
      <c r="AB180" s="141" t="s">
        <v>977</v>
      </c>
    </row>
    <row r="181" spans="1:28">
      <c r="A181" s="151"/>
      <c r="B181" s="146" t="str">
        <f t="shared" si="15"/>
        <v/>
      </c>
      <c r="C181" s="151"/>
      <c r="D181" s="146" t="str">
        <f t="shared" si="16"/>
        <v/>
      </c>
      <c r="E181" s="186"/>
      <c r="F181" s="146" t="str">
        <f t="shared" si="17"/>
        <v/>
      </c>
      <c r="G181" s="185"/>
      <c r="H181" s="185"/>
      <c r="I181" s="185"/>
      <c r="J181" s="201"/>
      <c r="K181" s="200"/>
      <c r="L181" s="200"/>
      <c r="M181" s="201"/>
      <c r="N181" s="201"/>
      <c r="P181" s="141" t="str">
        <f t="shared" si="18"/>
        <v/>
      </c>
      <c r="Q181" s="141" t="str">
        <f t="shared" si="19"/>
        <v/>
      </c>
      <c r="AA181" s="141" t="s">
        <v>978</v>
      </c>
      <c r="AB181" s="141" t="s">
        <v>979</v>
      </c>
    </row>
    <row r="182" spans="1:28">
      <c r="A182" s="151"/>
      <c r="B182" s="146" t="str">
        <f t="shared" si="15"/>
        <v/>
      </c>
      <c r="C182" s="151"/>
      <c r="D182" s="146" t="str">
        <f t="shared" si="16"/>
        <v/>
      </c>
      <c r="E182" s="186"/>
      <c r="F182" s="146" t="str">
        <f t="shared" si="17"/>
        <v/>
      </c>
      <c r="G182" s="185"/>
      <c r="H182" s="185"/>
      <c r="I182" s="185"/>
      <c r="J182" s="201"/>
      <c r="K182" s="200"/>
      <c r="L182" s="200"/>
      <c r="M182" s="201"/>
      <c r="N182" s="201"/>
      <c r="P182" s="141" t="str">
        <f t="shared" si="18"/>
        <v/>
      </c>
      <c r="Q182" s="141" t="str">
        <f t="shared" si="19"/>
        <v/>
      </c>
      <c r="AA182" s="141" t="s">
        <v>980</v>
      </c>
      <c r="AB182" s="141" t="s">
        <v>981</v>
      </c>
    </row>
    <row r="183" spans="1:28">
      <c r="A183" s="151"/>
      <c r="B183" s="146" t="str">
        <f t="shared" si="15"/>
        <v/>
      </c>
      <c r="C183" s="151"/>
      <c r="D183" s="146" t="str">
        <f t="shared" si="16"/>
        <v/>
      </c>
      <c r="E183" s="186"/>
      <c r="F183" s="146" t="str">
        <f t="shared" si="17"/>
        <v/>
      </c>
      <c r="G183" s="185"/>
      <c r="H183" s="185"/>
      <c r="I183" s="185"/>
      <c r="J183" s="201"/>
      <c r="K183" s="200"/>
      <c r="L183" s="200"/>
      <c r="M183" s="201"/>
      <c r="N183" s="201"/>
      <c r="P183" s="141" t="str">
        <f t="shared" si="18"/>
        <v/>
      </c>
      <c r="Q183" s="141" t="str">
        <f t="shared" si="19"/>
        <v/>
      </c>
      <c r="AA183" s="141" t="s">
        <v>982</v>
      </c>
      <c r="AB183" s="141" t="s">
        <v>983</v>
      </c>
    </row>
    <row r="184" spans="1:28">
      <c r="A184" s="151"/>
      <c r="B184" s="146" t="str">
        <f t="shared" si="15"/>
        <v/>
      </c>
      <c r="C184" s="151"/>
      <c r="D184" s="146" t="str">
        <f t="shared" si="16"/>
        <v/>
      </c>
      <c r="E184" s="186"/>
      <c r="F184" s="146" t="str">
        <f t="shared" si="17"/>
        <v/>
      </c>
      <c r="G184" s="185"/>
      <c r="H184" s="185"/>
      <c r="I184" s="185"/>
      <c r="J184" s="201"/>
      <c r="K184" s="200"/>
      <c r="L184" s="200"/>
      <c r="M184" s="201"/>
      <c r="N184" s="201"/>
      <c r="P184" s="141" t="str">
        <f t="shared" si="18"/>
        <v/>
      </c>
      <c r="Q184" s="141" t="str">
        <f t="shared" si="19"/>
        <v/>
      </c>
      <c r="AA184" s="141" t="s">
        <v>984</v>
      </c>
      <c r="AB184" s="141" t="s">
        <v>985</v>
      </c>
    </row>
    <row r="185" spans="1:28">
      <c r="A185" s="151"/>
      <c r="B185" s="146" t="str">
        <f t="shared" si="15"/>
        <v/>
      </c>
      <c r="C185" s="151"/>
      <c r="D185" s="146" t="str">
        <f t="shared" si="16"/>
        <v/>
      </c>
      <c r="E185" s="186"/>
      <c r="F185" s="146" t="str">
        <f t="shared" si="17"/>
        <v/>
      </c>
      <c r="G185" s="185"/>
      <c r="H185" s="185"/>
      <c r="I185" s="185"/>
      <c r="J185" s="201"/>
      <c r="K185" s="200"/>
      <c r="L185" s="200"/>
      <c r="M185" s="201"/>
      <c r="N185" s="201"/>
      <c r="P185" s="141" t="str">
        <f t="shared" si="18"/>
        <v/>
      </c>
      <c r="Q185" s="141" t="str">
        <f t="shared" si="19"/>
        <v/>
      </c>
      <c r="AA185" s="141" t="s">
        <v>986</v>
      </c>
      <c r="AB185" s="141" t="s">
        <v>985</v>
      </c>
    </row>
    <row r="186" spans="1:28">
      <c r="A186" s="151"/>
      <c r="B186" s="146" t="str">
        <f t="shared" si="15"/>
        <v/>
      </c>
      <c r="C186" s="151"/>
      <c r="D186" s="146" t="str">
        <f t="shared" si="16"/>
        <v/>
      </c>
      <c r="E186" s="186"/>
      <c r="F186" s="146" t="str">
        <f t="shared" si="17"/>
        <v/>
      </c>
      <c r="G186" s="185"/>
      <c r="H186" s="185"/>
      <c r="I186" s="185"/>
      <c r="J186" s="201"/>
      <c r="K186" s="200"/>
      <c r="L186" s="200"/>
      <c r="M186" s="201"/>
      <c r="N186" s="201"/>
      <c r="P186" s="141" t="str">
        <f t="shared" si="18"/>
        <v/>
      </c>
      <c r="Q186" s="141" t="str">
        <f t="shared" si="19"/>
        <v/>
      </c>
      <c r="AA186" s="141" t="s">
        <v>987</v>
      </c>
      <c r="AB186" s="141" t="s">
        <v>988</v>
      </c>
    </row>
    <row r="187" spans="1:28">
      <c r="A187" s="151"/>
      <c r="B187" s="146" t="str">
        <f t="shared" si="15"/>
        <v/>
      </c>
      <c r="C187" s="151"/>
      <c r="D187" s="146" t="str">
        <f t="shared" si="16"/>
        <v/>
      </c>
      <c r="E187" s="186"/>
      <c r="F187" s="146" t="str">
        <f t="shared" si="17"/>
        <v/>
      </c>
      <c r="G187" s="185"/>
      <c r="H187" s="185"/>
      <c r="I187" s="185"/>
      <c r="J187" s="201"/>
      <c r="K187" s="200"/>
      <c r="L187" s="200"/>
      <c r="M187" s="201"/>
      <c r="N187" s="201"/>
      <c r="P187" s="141" t="str">
        <f t="shared" si="18"/>
        <v/>
      </c>
      <c r="Q187" s="141" t="str">
        <f t="shared" si="19"/>
        <v/>
      </c>
      <c r="AA187" s="141" t="s">
        <v>989</v>
      </c>
      <c r="AB187" s="141" t="s">
        <v>990</v>
      </c>
    </row>
    <row r="188" spans="1:28">
      <c r="A188" s="151"/>
      <c r="B188" s="146" t="str">
        <f t="shared" si="15"/>
        <v/>
      </c>
      <c r="C188" s="151"/>
      <c r="D188" s="146" t="str">
        <f t="shared" si="16"/>
        <v/>
      </c>
      <c r="E188" s="186"/>
      <c r="F188" s="146" t="str">
        <f t="shared" si="17"/>
        <v/>
      </c>
      <c r="G188" s="185"/>
      <c r="H188" s="185"/>
      <c r="I188" s="185"/>
      <c r="J188" s="201"/>
      <c r="K188" s="200"/>
      <c r="L188" s="200"/>
      <c r="M188" s="201"/>
      <c r="N188" s="201"/>
      <c r="P188" s="141" t="str">
        <f t="shared" si="18"/>
        <v/>
      </c>
      <c r="Q188" s="141" t="str">
        <f t="shared" si="19"/>
        <v/>
      </c>
      <c r="AA188" s="141" t="s">
        <v>991</v>
      </c>
      <c r="AB188" s="141" t="s">
        <v>988</v>
      </c>
    </row>
    <row r="189" spans="1:28">
      <c r="A189" s="151"/>
      <c r="B189" s="146" t="str">
        <f t="shared" si="15"/>
        <v/>
      </c>
      <c r="C189" s="151"/>
      <c r="D189" s="146" t="str">
        <f t="shared" si="16"/>
        <v/>
      </c>
      <c r="E189" s="186"/>
      <c r="F189" s="146" t="str">
        <f t="shared" si="17"/>
        <v/>
      </c>
      <c r="G189" s="185"/>
      <c r="H189" s="185"/>
      <c r="I189" s="185"/>
      <c r="J189" s="201"/>
      <c r="K189" s="200"/>
      <c r="L189" s="200"/>
      <c r="M189" s="201"/>
      <c r="N189" s="201"/>
      <c r="P189" s="141" t="str">
        <f t="shared" si="18"/>
        <v/>
      </c>
      <c r="Q189" s="141" t="str">
        <f t="shared" si="19"/>
        <v/>
      </c>
      <c r="AA189" s="141" t="s">
        <v>1716</v>
      </c>
    </row>
    <row r="190" spans="1:28">
      <c r="A190" s="151"/>
      <c r="B190" s="146" t="str">
        <f t="shared" si="15"/>
        <v/>
      </c>
      <c r="C190" s="151"/>
      <c r="D190" s="146" t="str">
        <f t="shared" si="16"/>
        <v/>
      </c>
      <c r="E190" s="186"/>
      <c r="F190" s="146" t="str">
        <f t="shared" si="17"/>
        <v/>
      </c>
      <c r="G190" s="185"/>
      <c r="H190" s="185"/>
      <c r="I190" s="185"/>
      <c r="J190" s="201"/>
      <c r="K190" s="200"/>
      <c r="L190" s="200"/>
      <c r="M190" s="201"/>
      <c r="N190" s="201"/>
      <c r="P190" s="141" t="str">
        <f t="shared" si="18"/>
        <v/>
      </c>
      <c r="Q190" s="141" t="str">
        <f t="shared" si="19"/>
        <v/>
      </c>
      <c r="AA190" s="141" t="s">
        <v>1717</v>
      </c>
      <c r="AB190" s="141" t="s">
        <v>1718</v>
      </c>
    </row>
    <row r="191" spans="1:28">
      <c r="A191" s="151"/>
      <c r="B191" s="146" t="str">
        <f t="shared" si="15"/>
        <v/>
      </c>
      <c r="C191" s="151"/>
      <c r="D191" s="146" t="str">
        <f t="shared" si="16"/>
        <v/>
      </c>
      <c r="E191" s="186"/>
      <c r="F191" s="146" t="str">
        <f t="shared" si="17"/>
        <v/>
      </c>
      <c r="G191" s="185"/>
      <c r="H191" s="185"/>
      <c r="I191" s="185"/>
      <c r="J191" s="201"/>
      <c r="K191" s="200"/>
      <c r="L191" s="200"/>
      <c r="M191" s="201"/>
      <c r="N191" s="201"/>
      <c r="P191" s="141" t="str">
        <f t="shared" si="18"/>
        <v/>
      </c>
      <c r="Q191" s="141" t="str">
        <f t="shared" si="19"/>
        <v/>
      </c>
      <c r="AA191" s="141" t="s">
        <v>1719</v>
      </c>
      <c r="AB191" s="141" t="s">
        <v>1720</v>
      </c>
    </row>
    <row r="192" spans="1:28">
      <c r="A192" s="151"/>
      <c r="B192" s="146" t="str">
        <f t="shared" si="15"/>
        <v/>
      </c>
      <c r="C192" s="151"/>
      <c r="D192" s="146" t="str">
        <f t="shared" si="16"/>
        <v/>
      </c>
      <c r="E192" s="186"/>
      <c r="F192" s="146" t="str">
        <f t="shared" si="17"/>
        <v/>
      </c>
      <c r="G192" s="185"/>
      <c r="H192" s="185"/>
      <c r="I192" s="185"/>
      <c r="J192" s="201"/>
      <c r="K192" s="200"/>
      <c r="L192" s="200"/>
      <c r="M192" s="201"/>
      <c r="N192" s="201"/>
      <c r="P192" s="141" t="str">
        <f t="shared" si="18"/>
        <v/>
      </c>
      <c r="Q192" s="141" t="str">
        <f t="shared" si="19"/>
        <v/>
      </c>
      <c r="AA192" s="141" t="s">
        <v>1721</v>
      </c>
      <c r="AB192" s="141" t="s">
        <v>1722</v>
      </c>
    </row>
    <row r="193" spans="1:28">
      <c r="A193" s="151"/>
      <c r="B193" s="146" t="str">
        <f t="shared" si="15"/>
        <v/>
      </c>
      <c r="C193" s="151"/>
      <c r="D193" s="146" t="str">
        <f t="shared" si="16"/>
        <v/>
      </c>
      <c r="E193" s="186"/>
      <c r="F193" s="146" t="str">
        <f t="shared" si="17"/>
        <v/>
      </c>
      <c r="G193" s="185"/>
      <c r="H193" s="185"/>
      <c r="I193" s="185"/>
      <c r="J193" s="201"/>
      <c r="K193" s="200"/>
      <c r="L193" s="200"/>
      <c r="M193" s="201"/>
      <c r="N193" s="201"/>
      <c r="P193" s="141" t="str">
        <f t="shared" si="18"/>
        <v/>
      </c>
      <c r="Q193" s="141" t="str">
        <f t="shared" si="19"/>
        <v/>
      </c>
      <c r="AA193" s="141" t="s">
        <v>1723</v>
      </c>
      <c r="AB193" s="141" t="s">
        <v>1724</v>
      </c>
    </row>
    <row r="194" spans="1:28">
      <c r="A194" s="151"/>
      <c r="B194" s="146" t="str">
        <f t="shared" si="15"/>
        <v/>
      </c>
      <c r="C194" s="151"/>
      <c r="D194" s="146" t="str">
        <f t="shared" si="16"/>
        <v/>
      </c>
      <c r="E194" s="186"/>
      <c r="F194" s="146" t="str">
        <f t="shared" si="17"/>
        <v/>
      </c>
      <c r="G194" s="185"/>
      <c r="H194" s="185"/>
      <c r="I194" s="185"/>
      <c r="J194" s="201"/>
      <c r="K194" s="200"/>
      <c r="L194" s="200"/>
      <c r="M194" s="201"/>
      <c r="N194" s="201"/>
      <c r="P194" s="141" t="str">
        <f t="shared" si="18"/>
        <v/>
      </c>
      <c r="Q194" s="141" t="str">
        <f t="shared" si="19"/>
        <v/>
      </c>
      <c r="AA194" s="141" t="s">
        <v>1725</v>
      </c>
      <c r="AB194" s="141" t="s">
        <v>1726</v>
      </c>
    </row>
    <row r="195" spans="1:28">
      <c r="A195" s="151"/>
      <c r="B195" s="146" t="str">
        <f t="shared" si="15"/>
        <v/>
      </c>
      <c r="C195" s="151"/>
      <c r="D195" s="146" t="str">
        <f t="shared" si="16"/>
        <v/>
      </c>
      <c r="E195" s="186"/>
      <c r="F195" s="146" t="str">
        <f t="shared" si="17"/>
        <v/>
      </c>
      <c r="G195" s="185"/>
      <c r="H195" s="185"/>
      <c r="I195" s="185"/>
      <c r="J195" s="201"/>
      <c r="K195" s="200"/>
      <c r="L195" s="200"/>
      <c r="M195" s="201"/>
      <c r="N195" s="201"/>
      <c r="P195" s="141" t="str">
        <f t="shared" si="18"/>
        <v/>
      </c>
      <c r="Q195" s="141" t="str">
        <f t="shared" si="19"/>
        <v/>
      </c>
      <c r="AA195" s="141" t="s">
        <v>1727</v>
      </c>
      <c r="AB195" s="141" t="s">
        <v>1728</v>
      </c>
    </row>
    <row r="196" spans="1:28">
      <c r="A196" s="151"/>
      <c r="B196" s="146" t="str">
        <f t="shared" ref="B196:B259" si="20">IFERROR(VLOOKUP(A196,$R$6:$S$23,2,FALSE),"")</f>
        <v/>
      </c>
      <c r="C196" s="151"/>
      <c r="D196" s="146" t="str">
        <f t="shared" ref="D196:D259" si="21">IFERROR(VLOOKUP(C196,$U$5:$W$129,2,FALSE),"")</f>
        <v/>
      </c>
      <c r="E196" s="186"/>
      <c r="F196" s="146" t="str">
        <f t="shared" ref="F196:F259" si="22">IFERROR(VLOOKUP(E196,$AA$5:$AB$500,2,FALSE),"")</f>
        <v/>
      </c>
      <c r="G196" s="185"/>
      <c r="H196" s="185"/>
      <c r="I196" s="185"/>
      <c r="J196" s="201"/>
      <c r="K196" s="200"/>
      <c r="L196" s="200"/>
      <c r="M196" s="201"/>
      <c r="N196" s="201"/>
      <c r="P196" s="141" t="str">
        <f t="shared" ref="P196:P259" si="23">LEFT(C196,3)</f>
        <v/>
      </c>
      <c r="Q196" s="141" t="str">
        <f t="shared" ref="Q196:Q259" si="24">LEFT(C196,2)</f>
        <v/>
      </c>
      <c r="AA196" s="141" t="s">
        <v>1729</v>
      </c>
      <c r="AB196" s="141" t="s">
        <v>1730</v>
      </c>
    </row>
    <row r="197" spans="1:28">
      <c r="A197" s="151"/>
      <c r="B197" s="146" t="str">
        <f t="shared" si="20"/>
        <v/>
      </c>
      <c r="C197" s="151"/>
      <c r="D197" s="146" t="str">
        <f t="shared" si="21"/>
        <v/>
      </c>
      <c r="E197" s="186"/>
      <c r="F197" s="146" t="str">
        <f t="shared" si="22"/>
        <v/>
      </c>
      <c r="G197" s="185"/>
      <c r="H197" s="185"/>
      <c r="I197" s="185"/>
      <c r="J197" s="201"/>
      <c r="K197" s="200"/>
      <c r="L197" s="200"/>
      <c r="M197" s="201"/>
      <c r="N197" s="201"/>
      <c r="P197" s="141" t="str">
        <f t="shared" si="23"/>
        <v/>
      </c>
      <c r="Q197" s="141" t="str">
        <f t="shared" si="24"/>
        <v/>
      </c>
      <c r="AA197" s="141" t="s">
        <v>1731</v>
      </c>
      <c r="AB197" s="141" t="s">
        <v>1732</v>
      </c>
    </row>
    <row r="198" spans="1:28">
      <c r="A198" s="151"/>
      <c r="B198" s="146" t="str">
        <f t="shared" si="20"/>
        <v/>
      </c>
      <c r="C198" s="151"/>
      <c r="D198" s="146" t="str">
        <f t="shared" si="21"/>
        <v/>
      </c>
      <c r="E198" s="186"/>
      <c r="F198" s="146" t="str">
        <f t="shared" si="22"/>
        <v/>
      </c>
      <c r="G198" s="185"/>
      <c r="H198" s="185"/>
      <c r="I198" s="185"/>
      <c r="J198" s="201"/>
      <c r="K198" s="200"/>
      <c r="L198" s="200"/>
      <c r="M198" s="201"/>
      <c r="N198" s="201"/>
      <c r="P198" s="141" t="str">
        <f t="shared" si="23"/>
        <v/>
      </c>
      <c r="Q198" s="141" t="str">
        <f t="shared" si="24"/>
        <v/>
      </c>
      <c r="AA198" s="141" t="s">
        <v>1733</v>
      </c>
      <c r="AB198" s="141" t="s">
        <v>1734</v>
      </c>
    </row>
    <row r="199" spans="1:28">
      <c r="A199" s="151"/>
      <c r="B199" s="146" t="str">
        <f t="shared" si="20"/>
        <v/>
      </c>
      <c r="C199" s="151"/>
      <c r="D199" s="146" t="str">
        <f t="shared" si="21"/>
        <v/>
      </c>
      <c r="E199" s="186"/>
      <c r="F199" s="146" t="str">
        <f t="shared" si="22"/>
        <v/>
      </c>
      <c r="G199" s="185"/>
      <c r="H199" s="185"/>
      <c r="I199" s="185"/>
      <c r="J199" s="201"/>
      <c r="K199" s="200"/>
      <c r="L199" s="200"/>
      <c r="M199" s="201"/>
      <c r="N199" s="201"/>
      <c r="P199" s="141" t="str">
        <f t="shared" si="23"/>
        <v/>
      </c>
      <c r="Q199" s="141" t="str">
        <f t="shared" si="24"/>
        <v/>
      </c>
      <c r="AA199" s="141" t="s">
        <v>1735</v>
      </c>
      <c r="AB199" s="141" t="s">
        <v>1736</v>
      </c>
    </row>
    <row r="200" spans="1:28">
      <c r="A200" s="151"/>
      <c r="B200" s="146" t="str">
        <f t="shared" si="20"/>
        <v/>
      </c>
      <c r="C200" s="151"/>
      <c r="D200" s="146" t="str">
        <f t="shared" si="21"/>
        <v/>
      </c>
      <c r="E200" s="186"/>
      <c r="F200" s="146" t="str">
        <f t="shared" si="22"/>
        <v/>
      </c>
      <c r="G200" s="185"/>
      <c r="H200" s="185"/>
      <c r="I200" s="185"/>
      <c r="J200" s="201"/>
      <c r="K200" s="200"/>
      <c r="L200" s="200"/>
      <c r="M200" s="201"/>
      <c r="N200" s="201"/>
      <c r="P200" s="141" t="str">
        <f t="shared" si="23"/>
        <v/>
      </c>
      <c r="Q200" s="141" t="str">
        <f t="shared" si="24"/>
        <v/>
      </c>
      <c r="AA200" s="141" t="s">
        <v>1737</v>
      </c>
      <c r="AB200" s="141" t="s">
        <v>1738</v>
      </c>
    </row>
    <row r="201" spans="1:28">
      <c r="A201" s="151"/>
      <c r="B201" s="146" t="str">
        <f t="shared" si="20"/>
        <v/>
      </c>
      <c r="C201" s="151"/>
      <c r="D201" s="146" t="str">
        <f t="shared" si="21"/>
        <v/>
      </c>
      <c r="E201" s="186"/>
      <c r="F201" s="146" t="str">
        <f t="shared" si="22"/>
        <v/>
      </c>
      <c r="G201" s="185"/>
      <c r="H201" s="185"/>
      <c r="I201" s="185"/>
      <c r="J201" s="201"/>
      <c r="K201" s="200"/>
      <c r="L201" s="200"/>
      <c r="M201" s="201"/>
      <c r="N201" s="201"/>
      <c r="P201" s="141" t="str">
        <f t="shared" si="23"/>
        <v/>
      </c>
      <c r="Q201" s="141" t="str">
        <f t="shared" si="24"/>
        <v/>
      </c>
      <c r="AA201" s="141" t="s">
        <v>1739</v>
      </c>
      <c r="AB201" s="141" t="s">
        <v>1740</v>
      </c>
    </row>
    <row r="202" spans="1:28">
      <c r="A202" s="151"/>
      <c r="B202" s="146" t="str">
        <f t="shared" si="20"/>
        <v/>
      </c>
      <c r="C202" s="151"/>
      <c r="D202" s="146" t="str">
        <f t="shared" si="21"/>
        <v/>
      </c>
      <c r="E202" s="186"/>
      <c r="F202" s="146" t="str">
        <f t="shared" si="22"/>
        <v/>
      </c>
      <c r="G202" s="185"/>
      <c r="H202" s="185"/>
      <c r="I202" s="185"/>
      <c r="J202" s="201"/>
      <c r="K202" s="200"/>
      <c r="L202" s="200"/>
      <c r="M202" s="201"/>
      <c r="N202" s="201"/>
      <c r="P202" s="141" t="str">
        <f t="shared" si="23"/>
        <v/>
      </c>
      <c r="Q202" s="141" t="str">
        <f t="shared" si="24"/>
        <v/>
      </c>
      <c r="AA202" s="141" t="s">
        <v>1741</v>
      </c>
      <c r="AB202" s="141" t="s">
        <v>1742</v>
      </c>
    </row>
    <row r="203" spans="1:28">
      <c r="A203" s="151"/>
      <c r="B203" s="146" t="str">
        <f t="shared" si="20"/>
        <v/>
      </c>
      <c r="C203" s="151"/>
      <c r="D203" s="146" t="str">
        <f t="shared" si="21"/>
        <v/>
      </c>
      <c r="E203" s="186"/>
      <c r="F203" s="146" t="str">
        <f t="shared" si="22"/>
        <v/>
      </c>
      <c r="G203" s="185"/>
      <c r="H203" s="185"/>
      <c r="I203" s="185"/>
      <c r="J203" s="201"/>
      <c r="K203" s="200"/>
      <c r="L203" s="200"/>
      <c r="M203" s="201"/>
      <c r="N203" s="201"/>
      <c r="P203" s="141" t="str">
        <f t="shared" si="23"/>
        <v/>
      </c>
      <c r="Q203" s="141" t="str">
        <f t="shared" si="24"/>
        <v/>
      </c>
      <c r="AA203" s="141" t="s">
        <v>1743</v>
      </c>
      <c r="AB203" s="141" t="s">
        <v>1744</v>
      </c>
    </row>
    <row r="204" spans="1:28">
      <c r="A204" s="151"/>
      <c r="B204" s="146" t="str">
        <f t="shared" si="20"/>
        <v/>
      </c>
      <c r="C204" s="151"/>
      <c r="D204" s="146" t="str">
        <f t="shared" si="21"/>
        <v/>
      </c>
      <c r="E204" s="186"/>
      <c r="F204" s="146" t="str">
        <f t="shared" si="22"/>
        <v/>
      </c>
      <c r="G204" s="185"/>
      <c r="H204" s="185"/>
      <c r="I204" s="185"/>
      <c r="J204" s="201"/>
      <c r="K204" s="200"/>
      <c r="L204" s="200"/>
      <c r="M204" s="201"/>
      <c r="N204" s="201"/>
      <c r="P204" s="141" t="str">
        <f t="shared" si="23"/>
        <v/>
      </c>
      <c r="Q204" s="141" t="str">
        <f t="shared" si="24"/>
        <v/>
      </c>
      <c r="AA204" s="141" t="s">
        <v>1745</v>
      </c>
      <c r="AB204" s="141" t="s">
        <v>1746</v>
      </c>
    </row>
    <row r="205" spans="1:28">
      <c r="A205" s="151"/>
      <c r="B205" s="146" t="str">
        <f t="shared" si="20"/>
        <v/>
      </c>
      <c r="C205" s="151"/>
      <c r="D205" s="146" t="str">
        <f t="shared" si="21"/>
        <v/>
      </c>
      <c r="E205" s="186"/>
      <c r="F205" s="146" t="str">
        <f t="shared" si="22"/>
        <v/>
      </c>
      <c r="G205" s="185"/>
      <c r="H205" s="185"/>
      <c r="I205" s="185"/>
      <c r="J205" s="201"/>
      <c r="K205" s="200"/>
      <c r="L205" s="200"/>
      <c r="M205" s="201"/>
      <c r="N205" s="201"/>
      <c r="P205" s="141" t="str">
        <f t="shared" si="23"/>
        <v/>
      </c>
      <c r="Q205" s="141" t="str">
        <f t="shared" si="24"/>
        <v/>
      </c>
      <c r="AA205" s="141" t="s">
        <v>1747</v>
      </c>
      <c r="AB205" s="141" t="s">
        <v>1748</v>
      </c>
    </row>
    <row r="206" spans="1:28">
      <c r="A206" s="151"/>
      <c r="B206" s="146" t="str">
        <f t="shared" si="20"/>
        <v/>
      </c>
      <c r="C206" s="151"/>
      <c r="D206" s="146" t="str">
        <f t="shared" si="21"/>
        <v/>
      </c>
      <c r="E206" s="186"/>
      <c r="F206" s="146" t="str">
        <f t="shared" si="22"/>
        <v/>
      </c>
      <c r="G206" s="185"/>
      <c r="H206" s="185"/>
      <c r="I206" s="185"/>
      <c r="J206" s="201"/>
      <c r="K206" s="200"/>
      <c r="L206" s="200"/>
      <c r="M206" s="201"/>
      <c r="N206" s="201"/>
      <c r="P206" s="141" t="str">
        <f t="shared" si="23"/>
        <v/>
      </c>
      <c r="Q206" s="141" t="str">
        <f t="shared" si="24"/>
        <v/>
      </c>
      <c r="AA206" s="141" t="s">
        <v>1749</v>
      </c>
      <c r="AB206" s="141" t="s">
        <v>1750</v>
      </c>
    </row>
    <row r="207" spans="1:28">
      <c r="A207" s="151"/>
      <c r="B207" s="146" t="str">
        <f t="shared" si="20"/>
        <v/>
      </c>
      <c r="C207" s="151"/>
      <c r="D207" s="146" t="str">
        <f t="shared" si="21"/>
        <v/>
      </c>
      <c r="E207" s="186"/>
      <c r="F207" s="146" t="str">
        <f t="shared" si="22"/>
        <v/>
      </c>
      <c r="G207" s="185"/>
      <c r="H207" s="185"/>
      <c r="I207" s="185"/>
      <c r="J207" s="201"/>
      <c r="K207" s="200"/>
      <c r="L207" s="200"/>
      <c r="M207" s="201"/>
      <c r="N207" s="201"/>
      <c r="P207" s="141" t="str">
        <f t="shared" si="23"/>
        <v/>
      </c>
      <c r="Q207" s="141" t="str">
        <f t="shared" si="24"/>
        <v/>
      </c>
      <c r="AA207" s="141" t="s">
        <v>1751</v>
      </c>
      <c r="AB207" s="141" t="s">
        <v>1752</v>
      </c>
    </row>
    <row r="208" spans="1:28">
      <c r="A208" s="151"/>
      <c r="B208" s="146" t="str">
        <f t="shared" si="20"/>
        <v/>
      </c>
      <c r="C208" s="151"/>
      <c r="D208" s="146" t="str">
        <f t="shared" si="21"/>
        <v/>
      </c>
      <c r="E208" s="186"/>
      <c r="F208" s="146" t="str">
        <f t="shared" si="22"/>
        <v/>
      </c>
      <c r="G208" s="185"/>
      <c r="H208" s="185"/>
      <c r="I208" s="185"/>
      <c r="J208" s="201"/>
      <c r="K208" s="200"/>
      <c r="L208" s="200"/>
      <c r="M208" s="201"/>
      <c r="N208" s="201"/>
      <c r="P208" s="141" t="str">
        <f t="shared" si="23"/>
        <v/>
      </c>
      <c r="Q208" s="141" t="str">
        <f t="shared" si="24"/>
        <v/>
      </c>
      <c r="AA208" s="141" t="s">
        <v>1753</v>
      </c>
      <c r="AB208" s="141" t="s">
        <v>1754</v>
      </c>
    </row>
    <row r="209" spans="1:28">
      <c r="A209" s="151"/>
      <c r="B209" s="146" t="str">
        <f t="shared" si="20"/>
        <v/>
      </c>
      <c r="C209" s="151"/>
      <c r="D209" s="146" t="str">
        <f t="shared" si="21"/>
        <v/>
      </c>
      <c r="E209" s="186"/>
      <c r="F209" s="146" t="str">
        <f t="shared" si="22"/>
        <v/>
      </c>
      <c r="G209" s="185"/>
      <c r="H209" s="185"/>
      <c r="I209" s="185"/>
      <c r="J209" s="201"/>
      <c r="K209" s="200"/>
      <c r="L209" s="200"/>
      <c r="M209" s="201"/>
      <c r="N209" s="201"/>
      <c r="P209" s="141" t="str">
        <f t="shared" si="23"/>
        <v/>
      </c>
      <c r="Q209" s="141" t="str">
        <f t="shared" si="24"/>
        <v/>
      </c>
      <c r="AA209" s="141" t="s">
        <v>1755</v>
      </c>
      <c r="AB209" s="141" t="s">
        <v>1756</v>
      </c>
    </row>
    <row r="210" spans="1:28">
      <c r="A210" s="151"/>
      <c r="B210" s="146" t="str">
        <f t="shared" si="20"/>
        <v/>
      </c>
      <c r="C210" s="151"/>
      <c r="D210" s="146" t="str">
        <f t="shared" si="21"/>
        <v/>
      </c>
      <c r="E210" s="186"/>
      <c r="F210" s="146" t="str">
        <f t="shared" si="22"/>
        <v/>
      </c>
      <c r="G210" s="185"/>
      <c r="H210" s="185"/>
      <c r="I210" s="185"/>
      <c r="J210" s="201"/>
      <c r="K210" s="200"/>
      <c r="L210" s="200"/>
      <c r="M210" s="201"/>
      <c r="N210" s="201"/>
      <c r="P210" s="141" t="str">
        <f t="shared" si="23"/>
        <v/>
      </c>
      <c r="Q210" s="141" t="str">
        <f t="shared" si="24"/>
        <v/>
      </c>
      <c r="AA210" s="141" t="s">
        <v>1757</v>
      </c>
      <c r="AB210" s="141" t="s">
        <v>1758</v>
      </c>
    </row>
    <row r="211" spans="1:28">
      <c r="A211" s="151"/>
      <c r="B211" s="146" t="str">
        <f t="shared" si="20"/>
        <v/>
      </c>
      <c r="C211" s="151"/>
      <c r="D211" s="146" t="str">
        <f t="shared" si="21"/>
        <v/>
      </c>
      <c r="E211" s="186"/>
      <c r="F211" s="146" t="str">
        <f t="shared" si="22"/>
        <v/>
      </c>
      <c r="G211" s="185"/>
      <c r="H211" s="185"/>
      <c r="I211" s="185"/>
      <c r="J211" s="201"/>
      <c r="K211" s="200"/>
      <c r="L211" s="200"/>
      <c r="M211" s="201"/>
      <c r="N211" s="201"/>
      <c r="P211" s="141" t="str">
        <f t="shared" si="23"/>
        <v/>
      </c>
      <c r="Q211" s="141" t="str">
        <f t="shared" si="24"/>
        <v/>
      </c>
      <c r="AA211" s="141" t="s">
        <v>1759</v>
      </c>
      <c r="AB211" s="141" t="s">
        <v>1760</v>
      </c>
    </row>
    <row r="212" spans="1:28">
      <c r="A212" s="151"/>
      <c r="B212" s="146" t="str">
        <f t="shared" si="20"/>
        <v/>
      </c>
      <c r="C212" s="151"/>
      <c r="D212" s="146" t="str">
        <f t="shared" si="21"/>
        <v/>
      </c>
      <c r="E212" s="186"/>
      <c r="F212" s="146" t="str">
        <f t="shared" si="22"/>
        <v/>
      </c>
      <c r="G212" s="185"/>
      <c r="H212" s="185"/>
      <c r="I212" s="185"/>
      <c r="J212" s="201"/>
      <c r="K212" s="200"/>
      <c r="L212" s="200"/>
      <c r="M212" s="201"/>
      <c r="N212" s="201"/>
      <c r="P212" s="141" t="str">
        <f t="shared" si="23"/>
        <v/>
      </c>
      <c r="Q212" s="141" t="str">
        <f t="shared" si="24"/>
        <v/>
      </c>
      <c r="AA212" s="141" t="s">
        <v>1761</v>
      </c>
      <c r="AB212" s="141" t="s">
        <v>1762</v>
      </c>
    </row>
    <row r="213" spans="1:28">
      <c r="A213" s="151"/>
      <c r="B213" s="146" t="str">
        <f t="shared" si="20"/>
        <v/>
      </c>
      <c r="C213" s="151"/>
      <c r="D213" s="146" t="str">
        <f t="shared" si="21"/>
        <v/>
      </c>
      <c r="E213" s="186"/>
      <c r="F213" s="146" t="str">
        <f t="shared" si="22"/>
        <v/>
      </c>
      <c r="G213" s="185"/>
      <c r="H213" s="185"/>
      <c r="I213" s="185"/>
      <c r="J213" s="201"/>
      <c r="K213" s="200"/>
      <c r="L213" s="200"/>
      <c r="M213" s="201"/>
      <c r="N213" s="201"/>
      <c r="P213" s="141" t="str">
        <f t="shared" si="23"/>
        <v/>
      </c>
      <c r="Q213" s="141" t="str">
        <f t="shared" si="24"/>
        <v/>
      </c>
      <c r="AA213" s="141" t="s">
        <v>1763</v>
      </c>
      <c r="AB213" s="141" t="s">
        <v>1764</v>
      </c>
    </row>
    <row r="214" spans="1:28">
      <c r="A214" s="151"/>
      <c r="B214" s="146" t="str">
        <f t="shared" si="20"/>
        <v/>
      </c>
      <c r="C214" s="151"/>
      <c r="D214" s="146" t="str">
        <f t="shared" si="21"/>
        <v/>
      </c>
      <c r="E214" s="186"/>
      <c r="F214" s="146" t="str">
        <f t="shared" si="22"/>
        <v/>
      </c>
      <c r="G214" s="185"/>
      <c r="H214" s="185"/>
      <c r="I214" s="185"/>
      <c r="J214" s="201"/>
      <c r="K214" s="200"/>
      <c r="L214" s="200"/>
      <c r="M214" s="201"/>
      <c r="N214" s="201"/>
      <c r="P214" s="141" t="str">
        <f t="shared" si="23"/>
        <v/>
      </c>
      <c r="Q214" s="141" t="str">
        <f t="shared" si="24"/>
        <v/>
      </c>
      <c r="AA214" s="141" t="s">
        <v>1765</v>
      </c>
      <c r="AB214" s="141" t="s">
        <v>1766</v>
      </c>
    </row>
    <row r="215" spans="1:28">
      <c r="A215" s="151"/>
      <c r="B215" s="146" t="str">
        <f t="shared" si="20"/>
        <v/>
      </c>
      <c r="C215" s="151"/>
      <c r="D215" s="146" t="str">
        <f t="shared" si="21"/>
        <v/>
      </c>
      <c r="E215" s="186"/>
      <c r="F215" s="146" t="str">
        <f t="shared" si="22"/>
        <v/>
      </c>
      <c r="G215" s="185"/>
      <c r="H215" s="185"/>
      <c r="I215" s="185"/>
      <c r="J215" s="201"/>
      <c r="K215" s="200"/>
      <c r="L215" s="200"/>
      <c r="M215" s="201"/>
      <c r="N215" s="201"/>
      <c r="P215" s="141" t="str">
        <f t="shared" si="23"/>
        <v/>
      </c>
      <c r="Q215" s="141" t="str">
        <f t="shared" si="24"/>
        <v/>
      </c>
      <c r="AA215" s="141" t="s">
        <v>1767</v>
      </c>
      <c r="AB215" s="141" t="s">
        <v>1768</v>
      </c>
    </row>
    <row r="216" spans="1:28">
      <c r="A216" s="151"/>
      <c r="B216" s="146" t="str">
        <f t="shared" si="20"/>
        <v/>
      </c>
      <c r="C216" s="151"/>
      <c r="D216" s="146" t="str">
        <f t="shared" si="21"/>
        <v/>
      </c>
      <c r="E216" s="186"/>
      <c r="F216" s="146" t="str">
        <f t="shared" si="22"/>
        <v/>
      </c>
      <c r="G216" s="185"/>
      <c r="H216" s="185"/>
      <c r="I216" s="185"/>
      <c r="J216" s="201"/>
      <c r="K216" s="200"/>
      <c r="L216" s="200"/>
      <c r="M216" s="201"/>
      <c r="N216" s="201"/>
      <c r="P216" s="141" t="str">
        <f t="shared" si="23"/>
        <v/>
      </c>
      <c r="Q216" s="141" t="str">
        <f t="shared" si="24"/>
        <v/>
      </c>
      <c r="AA216" s="141" t="s">
        <v>1769</v>
      </c>
      <c r="AB216" s="141" t="s">
        <v>1770</v>
      </c>
    </row>
    <row r="217" spans="1:28">
      <c r="A217" s="151"/>
      <c r="B217" s="146" t="str">
        <f t="shared" si="20"/>
        <v/>
      </c>
      <c r="C217" s="151"/>
      <c r="D217" s="146" t="str">
        <f t="shared" si="21"/>
        <v/>
      </c>
      <c r="E217" s="186"/>
      <c r="F217" s="146" t="str">
        <f t="shared" si="22"/>
        <v/>
      </c>
      <c r="G217" s="185"/>
      <c r="H217" s="185"/>
      <c r="I217" s="185"/>
      <c r="J217" s="201"/>
      <c r="K217" s="200"/>
      <c r="L217" s="200"/>
      <c r="M217" s="201"/>
      <c r="N217" s="201"/>
      <c r="P217" s="141" t="str">
        <f t="shared" si="23"/>
        <v/>
      </c>
      <c r="Q217" s="141" t="str">
        <f t="shared" si="24"/>
        <v/>
      </c>
      <c r="AA217" s="141" t="s">
        <v>1771</v>
      </c>
      <c r="AB217" s="141" t="s">
        <v>1772</v>
      </c>
    </row>
    <row r="218" spans="1:28">
      <c r="A218" s="151"/>
      <c r="B218" s="146" t="str">
        <f t="shared" si="20"/>
        <v/>
      </c>
      <c r="C218" s="151"/>
      <c r="D218" s="146" t="str">
        <f t="shared" si="21"/>
        <v/>
      </c>
      <c r="E218" s="186"/>
      <c r="F218" s="146" t="str">
        <f t="shared" si="22"/>
        <v/>
      </c>
      <c r="G218" s="185"/>
      <c r="H218" s="185"/>
      <c r="I218" s="185"/>
      <c r="J218" s="201"/>
      <c r="K218" s="200"/>
      <c r="L218" s="200"/>
      <c r="M218" s="201"/>
      <c r="N218" s="201"/>
      <c r="P218" s="141" t="str">
        <f t="shared" si="23"/>
        <v/>
      </c>
      <c r="Q218" s="141" t="str">
        <f t="shared" si="24"/>
        <v/>
      </c>
      <c r="AA218" s="141" t="s">
        <v>1773</v>
      </c>
      <c r="AB218" s="141" t="s">
        <v>1774</v>
      </c>
    </row>
    <row r="219" spans="1:28">
      <c r="A219" s="151"/>
      <c r="B219" s="146" t="str">
        <f t="shared" si="20"/>
        <v/>
      </c>
      <c r="C219" s="151"/>
      <c r="D219" s="146" t="str">
        <f t="shared" si="21"/>
        <v/>
      </c>
      <c r="E219" s="186"/>
      <c r="F219" s="146" t="str">
        <f t="shared" si="22"/>
        <v/>
      </c>
      <c r="G219" s="185"/>
      <c r="H219" s="185"/>
      <c r="I219" s="185"/>
      <c r="J219" s="201"/>
      <c r="K219" s="200"/>
      <c r="L219" s="200"/>
      <c r="M219" s="201"/>
      <c r="N219" s="201"/>
      <c r="P219" s="141" t="str">
        <f t="shared" si="23"/>
        <v/>
      </c>
      <c r="Q219" s="141" t="str">
        <f t="shared" si="24"/>
        <v/>
      </c>
      <c r="AA219" s="141" t="s">
        <v>1775</v>
      </c>
      <c r="AB219" s="141" t="s">
        <v>1776</v>
      </c>
    </row>
    <row r="220" spans="1:28">
      <c r="A220" s="151"/>
      <c r="B220" s="146" t="str">
        <f t="shared" si="20"/>
        <v/>
      </c>
      <c r="C220" s="151"/>
      <c r="D220" s="146" t="str">
        <f t="shared" si="21"/>
        <v/>
      </c>
      <c r="E220" s="186"/>
      <c r="F220" s="146" t="str">
        <f t="shared" si="22"/>
        <v/>
      </c>
      <c r="G220" s="185"/>
      <c r="H220" s="185"/>
      <c r="I220" s="185"/>
      <c r="J220" s="201"/>
      <c r="K220" s="200"/>
      <c r="L220" s="200"/>
      <c r="M220" s="201"/>
      <c r="N220" s="201"/>
      <c r="P220" s="141" t="str">
        <f t="shared" si="23"/>
        <v/>
      </c>
      <c r="Q220" s="141" t="str">
        <f t="shared" si="24"/>
        <v/>
      </c>
      <c r="AA220" s="141" t="s">
        <v>1777</v>
      </c>
      <c r="AB220" s="141" t="s">
        <v>1778</v>
      </c>
    </row>
    <row r="221" spans="1:28">
      <c r="A221" s="151"/>
      <c r="B221" s="146" t="str">
        <f t="shared" si="20"/>
        <v/>
      </c>
      <c r="C221" s="151"/>
      <c r="D221" s="146" t="str">
        <f t="shared" si="21"/>
        <v/>
      </c>
      <c r="E221" s="186"/>
      <c r="F221" s="146" t="str">
        <f t="shared" si="22"/>
        <v/>
      </c>
      <c r="G221" s="185"/>
      <c r="H221" s="185"/>
      <c r="I221" s="185"/>
      <c r="J221" s="201"/>
      <c r="K221" s="200"/>
      <c r="L221" s="200"/>
      <c r="M221" s="201"/>
      <c r="N221" s="201"/>
      <c r="P221" s="141" t="str">
        <f t="shared" si="23"/>
        <v/>
      </c>
      <c r="Q221" s="141" t="str">
        <f t="shared" si="24"/>
        <v/>
      </c>
      <c r="AA221" s="141" t="s">
        <v>992</v>
      </c>
      <c r="AB221" s="141" t="s">
        <v>993</v>
      </c>
    </row>
    <row r="222" spans="1:28">
      <c r="A222" s="151"/>
      <c r="B222" s="146" t="str">
        <f t="shared" si="20"/>
        <v/>
      </c>
      <c r="C222" s="151"/>
      <c r="D222" s="146" t="str">
        <f t="shared" si="21"/>
        <v/>
      </c>
      <c r="E222" s="186"/>
      <c r="F222" s="146" t="str">
        <f t="shared" si="22"/>
        <v/>
      </c>
      <c r="G222" s="185"/>
      <c r="H222" s="185"/>
      <c r="I222" s="185"/>
      <c r="J222" s="201"/>
      <c r="K222" s="200"/>
      <c r="L222" s="200"/>
      <c r="M222" s="201"/>
      <c r="N222" s="201"/>
      <c r="P222" s="141" t="str">
        <f t="shared" si="23"/>
        <v/>
      </c>
      <c r="Q222" s="141" t="str">
        <f t="shared" si="24"/>
        <v/>
      </c>
      <c r="AA222" s="141" t="s">
        <v>994</v>
      </c>
      <c r="AB222" s="141" t="s">
        <v>995</v>
      </c>
    </row>
    <row r="223" spans="1:28">
      <c r="A223" s="151"/>
      <c r="B223" s="146" t="str">
        <f t="shared" si="20"/>
        <v/>
      </c>
      <c r="C223" s="151"/>
      <c r="D223" s="146" t="str">
        <f t="shared" si="21"/>
        <v/>
      </c>
      <c r="E223" s="186"/>
      <c r="F223" s="146" t="str">
        <f t="shared" si="22"/>
        <v/>
      </c>
      <c r="G223" s="185"/>
      <c r="H223" s="185"/>
      <c r="I223" s="185"/>
      <c r="J223" s="201"/>
      <c r="K223" s="200"/>
      <c r="L223" s="200"/>
      <c r="M223" s="201"/>
      <c r="N223" s="201"/>
      <c r="P223" s="141" t="str">
        <f t="shared" si="23"/>
        <v/>
      </c>
      <c r="Q223" s="141" t="str">
        <f t="shared" si="24"/>
        <v/>
      </c>
      <c r="AA223" s="141" t="s">
        <v>996</v>
      </c>
      <c r="AB223" s="141" t="s">
        <v>997</v>
      </c>
    </row>
    <row r="224" spans="1:28">
      <c r="A224" s="151"/>
      <c r="B224" s="146" t="str">
        <f t="shared" si="20"/>
        <v/>
      </c>
      <c r="C224" s="151"/>
      <c r="D224" s="146" t="str">
        <f t="shared" si="21"/>
        <v/>
      </c>
      <c r="E224" s="186"/>
      <c r="F224" s="146" t="str">
        <f t="shared" si="22"/>
        <v/>
      </c>
      <c r="G224" s="185"/>
      <c r="H224" s="185"/>
      <c r="I224" s="185"/>
      <c r="J224" s="201"/>
      <c r="K224" s="200"/>
      <c r="L224" s="200"/>
      <c r="M224" s="201"/>
      <c r="N224" s="201"/>
      <c r="P224" s="141" t="str">
        <f t="shared" si="23"/>
        <v/>
      </c>
      <c r="Q224" s="141" t="str">
        <f t="shared" si="24"/>
        <v/>
      </c>
      <c r="AA224" s="141" t="s">
        <v>998</v>
      </c>
      <c r="AB224" s="141" t="s">
        <v>999</v>
      </c>
    </row>
    <row r="225" spans="1:28">
      <c r="A225" s="151"/>
      <c r="B225" s="146" t="str">
        <f t="shared" si="20"/>
        <v/>
      </c>
      <c r="C225" s="151"/>
      <c r="D225" s="146" t="str">
        <f t="shared" si="21"/>
        <v/>
      </c>
      <c r="E225" s="186"/>
      <c r="F225" s="146" t="str">
        <f t="shared" si="22"/>
        <v/>
      </c>
      <c r="G225" s="185"/>
      <c r="H225" s="185"/>
      <c r="I225" s="185"/>
      <c r="J225" s="201"/>
      <c r="K225" s="200"/>
      <c r="L225" s="200"/>
      <c r="M225" s="201"/>
      <c r="N225" s="201"/>
      <c r="P225" s="141" t="str">
        <f t="shared" si="23"/>
        <v/>
      </c>
      <c r="Q225" s="141" t="str">
        <f t="shared" si="24"/>
        <v/>
      </c>
      <c r="AA225" s="141" t="s">
        <v>1000</v>
      </c>
      <c r="AB225" s="141" t="s">
        <v>1001</v>
      </c>
    </row>
    <row r="226" spans="1:28">
      <c r="A226" s="151"/>
      <c r="B226" s="146" t="str">
        <f t="shared" si="20"/>
        <v/>
      </c>
      <c r="C226" s="151"/>
      <c r="D226" s="146" t="str">
        <f t="shared" si="21"/>
        <v/>
      </c>
      <c r="E226" s="186"/>
      <c r="F226" s="146" t="str">
        <f t="shared" si="22"/>
        <v/>
      </c>
      <c r="G226" s="185"/>
      <c r="H226" s="185"/>
      <c r="I226" s="185"/>
      <c r="J226" s="201"/>
      <c r="K226" s="200"/>
      <c r="L226" s="200"/>
      <c r="M226" s="201"/>
      <c r="N226" s="201"/>
      <c r="P226" s="141" t="str">
        <f t="shared" si="23"/>
        <v/>
      </c>
      <c r="Q226" s="141" t="str">
        <f t="shared" si="24"/>
        <v/>
      </c>
      <c r="AA226" s="141" t="s">
        <v>1002</v>
      </c>
      <c r="AB226" s="141" t="s">
        <v>1003</v>
      </c>
    </row>
    <row r="227" spans="1:28">
      <c r="A227" s="151"/>
      <c r="B227" s="146" t="str">
        <f t="shared" si="20"/>
        <v/>
      </c>
      <c r="C227" s="151"/>
      <c r="D227" s="146" t="str">
        <f t="shared" si="21"/>
        <v/>
      </c>
      <c r="E227" s="186"/>
      <c r="F227" s="146" t="str">
        <f t="shared" si="22"/>
        <v/>
      </c>
      <c r="G227" s="185"/>
      <c r="H227" s="185"/>
      <c r="I227" s="185"/>
      <c r="J227" s="201"/>
      <c r="K227" s="200"/>
      <c r="L227" s="200"/>
      <c r="M227" s="201"/>
      <c r="N227" s="201"/>
      <c r="P227" s="141" t="str">
        <f t="shared" si="23"/>
        <v/>
      </c>
      <c r="Q227" s="141" t="str">
        <f t="shared" si="24"/>
        <v/>
      </c>
      <c r="AA227" s="141" t="s">
        <v>1004</v>
      </c>
      <c r="AB227" s="141" t="s">
        <v>1005</v>
      </c>
    </row>
    <row r="228" spans="1:28">
      <c r="A228" s="151"/>
      <c r="B228" s="146" t="str">
        <f t="shared" si="20"/>
        <v/>
      </c>
      <c r="C228" s="151"/>
      <c r="D228" s="146" t="str">
        <f t="shared" si="21"/>
        <v/>
      </c>
      <c r="E228" s="186"/>
      <c r="F228" s="146" t="str">
        <f t="shared" si="22"/>
        <v/>
      </c>
      <c r="G228" s="185"/>
      <c r="H228" s="185"/>
      <c r="I228" s="185"/>
      <c r="J228" s="201"/>
      <c r="K228" s="200"/>
      <c r="L228" s="200"/>
      <c r="M228" s="201"/>
      <c r="N228" s="201"/>
      <c r="P228" s="141" t="str">
        <f t="shared" si="23"/>
        <v/>
      </c>
      <c r="Q228" s="141" t="str">
        <f t="shared" si="24"/>
        <v/>
      </c>
      <c r="AA228" s="141" t="s">
        <v>1006</v>
      </c>
      <c r="AB228" s="141" t="s">
        <v>1007</v>
      </c>
    </row>
    <row r="229" spans="1:28">
      <c r="A229" s="151"/>
      <c r="B229" s="146" t="str">
        <f t="shared" si="20"/>
        <v/>
      </c>
      <c r="C229" s="151"/>
      <c r="D229" s="146" t="str">
        <f t="shared" si="21"/>
        <v/>
      </c>
      <c r="E229" s="186"/>
      <c r="F229" s="146" t="str">
        <f t="shared" si="22"/>
        <v/>
      </c>
      <c r="G229" s="185"/>
      <c r="H229" s="185"/>
      <c r="I229" s="185"/>
      <c r="J229" s="201"/>
      <c r="K229" s="200"/>
      <c r="L229" s="200"/>
      <c r="M229" s="201"/>
      <c r="N229" s="201"/>
      <c r="P229" s="141" t="str">
        <f t="shared" si="23"/>
        <v/>
      </c>
      <c r="Q229" s="141" t="str">
        <f t="shared" si="24"/>
        <v/>
      </c>
      <c r="AA229" s="141" t="s">
        <v>1008</v>
      </c>
      <c r="AB229" s="141" t="s">
        <v>1009</v>
      </c>
    </row>
    <row r="230" spans="1:28">
      <c r="A230" s="151"/>
      <c r="B230" s="146" t="str">
        <f t="shared" si="20"/>
        <v/>
      </c>
      <c r="C230" s="151"/>
      <c r="D230" s="146" t="str">
        <f t="shared" si="21"/>
        <v/>
      </c>
      <c r="E230" s="186"/>
      <c r="F230" s="146" t="str">
        <f t="shared" si="22"/>
        <v/>
      </c>
      <c r="G230" s="185"/>
      <c r="H230" s="185"/>
      <c r="I230" s="185"/>
      <c r="J230" s="201"/>
      <c r="K230" s="200"/>
      <c r="L230" s="200"/>
      <c r="M230" s="201"/>
      <c r="N230" s="201"/>
      <c r="P230" s="141" t="str">
        <f t="shared" si="23"/>
        <v/>
      </c>
      <c r="Q230" s="141" t="str">
        <f t="shared" si="24"/>
        <v/>
      </c>
      <c r="AA230" s="141" t="s">
        <v>1010</v>
      </c>
      <c r="AB230" s="141" t="s">
        <v>1011</v>
      </c>
    </row>
    <row r="231" spans="1:28">
      <c r="A231" s="151"/>
      <c r="B231" s="146" t="str">
        <f t="shared" si="20"/>
        <v/>
      </c>
      <c r="C231" s="151"/>
      <c r="D231" s="146" t="str">
        <f t="shared" si="21"/>
        <v/>
      </c>
      <c r="E231" s="186"/>
      <c r="F231" s="146" t="str">
        <f t="shared" si="22"/>
        <v/>
      </c>
      <c r="G231" s="185"/>
      <c r="H231" s="185"/>
      <c r="I231" s="185"/>
      <c r="J231" s="201"/>
      <c r="K231" s="200"/>
      <c r="L231" s="200"/>
      <c r="M231" s="201"/>
      <c r="N231" s="201"/>
      <c r="P231" s="141" t="str">
        <f t="shared" si="23"/>
        <v/>
      </c>
      <c r="Q231" s="141" t="str">
        <f t="shared" si="24"/>
        <v/>
      </c>
      <c r="AA231" s="141" t="s">
        <v>1012</v>
      </c>
      <c r="AB231" s="141" t="s">
        <v>1013</v>
      </c>
    </row>
    <row r="232" spans="1:28">
      <c r="A232" s="151"/>
      <c r="B232" s="146" t="str">
        <f t="shared" si="20"/>
        <v/>
      </c>
      <c r="C232" s="151"/>
      <c r="D232" s="146" t="str">
        <f t="shared" si="21"/>
        <v/>
      </c>
      <c r="E232" s="186"/>
      <c r="F232" s="146" t="str">
        <f t="shared" si="22"/>
        <v/>
      </c>
      <c r="G232" s="185"/>
      <c r="H232" s="185"/>
      <c r="I232" s="185"/>
      <c r="J232" s="201"/>
      <c r="K232" s="200"/>
      <c r="L232" s="200"/>
      <c r="M232" s="201"/>
      <c r="N232" s="201"/>
      <c r="P232" s="141" t="str">
        <f t="shared" si="23"/>
        <v/>
      </c>
      <c r="Q232" s="141" t="str">
        <f t="shared" si="24"/>
        <v/>
      </c>
      <c r="AA232" s="141" t="s">
        <v>1014</v>
      </c>
      <c r="AB232" s="141" t="s">
        <v>1015</v>
      </c>
    </row>
    <row r="233" spans="1:28">
      <c r="A233" s="151"/>
      <c r="B233" s="146" t="str">
        <f t="shared" si="20"/>
        <v/>
      </c>
      <c r="C233" s="151"/>
      <c r="D233" s="146" t="str">
        <f t="shared" si="21"/>
        <v/>
      </c>
      <c r="E233" s="186"/>
      <c r="F233" s="146" t="str">
        <f t="shared" si="22"/>
        <v/>
      </c>
      <c r="G233" s="185"/>
      <c r="H233" s="185"/>
      <c r="I233" s="185"/>
      <c r="J233" s="201"/>
      <c r="K233" s="200"/>
      <c r="L233" s="200"/>
      <c r="M233" s="201"/>
      <c r="N233" s="201"/>
      <c r="P233" s="141" t="str">
        <f t="shared" si="23"/>
        <v/>
      </c>
      <c r="Q233" s="141" t="str">
        <f t="shared" si="24"/>
        <v/>
      </c>
      <c r="AA233" s="141" t="s">
        <v>1016</v>
      </c>
      <c r="AB233" s="141" t="s">
        <v>1017</v>
      </c>
    </row>
    <row r="234" spans="1:28">
      <c r="A234" s="151"/>
      <c r="B234" s="146" t="str">
        <f t="shared" si="20"/>
        <v/>
      </c>
      <c r="C234" s="151"/>
      <c r="D234" s="146" t="str">
        <f t="shared" si="21"/>
        <v/>
      </c>
      <c r="E234" s="186"/>
      <c r="F234" s="146" t="str">
        <f t="shared" si="22"/>
        <v/>
      </c>
      <c r="G234" s="185"/>
      <c r="H234" s="185"/>
      <c r="I234" s="185"/>
      <c r="J234" s="201"/>
      <c r="K234" s="200"/>
      <c r="L234" s="200"/>
      <c r="M234" s="201"/>
      <c r="N234" s="201"/>
      <c r="P234" s="141" t="str">
        <f t="shared" si="23"/>
        <v/>
      </c>
      <c r="Q234" s="141" t="str">
        <f t="shared" si="24"/>
        <v/>
      </c>
      <c r="AA234" s="141" t="s">
        <v>1018</v>
      </c>
      <c r="AB234" s="141" t="s">
        <v>1019</v>
      </c>
    </row>
    <row r="235" spans="1:28">
      <c r="A235" s="151"/>
      <c r="B235" s="146" t="str">
        <f t="shared" si="20"/>
        <v/>
      </c>
      <c r="C235" s="151"/>
      <c r="D235" s="146" t="str">
        <f t="shared" si="21"/>
        <v/>
      </c>
      <c r="E235" s="186"/>
      <c r="F235" s="146" t="str">
        <f t="shared" si="22"/>
        <v/>
      </c>
      <c r="G235" s="185"/>
      <c r="H235" s="185"/>
      <c r="I235" s="185"/>
      <c r="J235" s="201"/>
      <c r="K235" s="200"/>
      <c r="L235" s="200"/>
      <c r="M235" s="201"/>
      <c r="N235" s="201"/>
      <c r="P235" s="141" t="str">
        <f t="shared" si="23"/>
        <v/>
      </c>
      <c r="Q235" s="141" t="str">
        <f t="shared" si="24"/>
        <v/>
      </c>
      <c r="AA235" s="141" t="s">
        <v>1020</v>
      </c>
      <c r="AB235" s="141" t="s">
        <v>1021</v>
      </c>
    </row>
    <row r="236" spans="1:28">
      <c r="A236" s="151"/>
      <c r="B236" s="146" t="str">
        <f t="shared" si="20"/>
        <v/>
      </c>
      <c r="C236" s="151"/>
      <c r="D236" s="146" t="str">
        <f t="shared" si="21"/>
        <v/>
      </c>
      <c r="E236" s="186"/>
      <c r="F236" s="146" t="str">
        <f t="shared" si="22"/>
        <v/>
      </c>
      <c r="G236" s="185"/>
      <c r="H236" s="185"/>
      <c r="I236" s="185"/>
      <c r="J236" s="201"/>
      <c r="K236" s="200"/>
      <c r="L236" s="200"/>
      <c r="M236" s="201"/>
      <c r="N236" s="201"/>
      <c r="P236" s="141" t="str">
        <f t="shared" si="23"/>
        <v/>
      </c>
      <c r="Q236" s="141" t="str">
        <f t="shared" si="24"/>
        <v/>
      </c>
      <c r="AA236" s="141" t="s">
        <v>1022</v>
      </c>
      <c r="AB236" s="141" t="s">
        <v>1023</v>
      </c>
    </row>
    <row r="237" spans="1:28">
      <c r="A237" s="151"/>
      <c r="B237" s="146" t="str">
        <f t="shared" si="20"/>
        <v/>
      </c>
      <c r="C237" s="151"/>
      <c r="D237" s="146" t="str">
        <f t="shared" si="21"/>
        <v/>
      </c>
      <c r="E237" s="186"/>
      <c r="F237" s="146" t="str">
        <f t="shared" si="22"/>
        <v/>
      </c>
      <c r="G237" s="185"/>
      <c r="H237" s="185"/>
      <c r="I237" s="185"/>
      <c r="J237" s="201"/>
      <c r="K237" s="200"/>
      <c r="L237" s="200"/>
      <c r="M237" s="201"/>
      <c r="N237" s="201"/>
      <c r="P237" s="141" t="str">
        <f t="shared" si="23"/>
        <v/>
      </c>
      <c r="Q237" s="141" t="str">
        <f t="shared" si="24"/>
        <v/>
      </c>
      <c r="AA237" s="141" t="s">
        <v>1024</v>
      </c>
      <c r="AB237" s="141" t="s">
        <v>1025</v>
      </c>
    </row>
    <row r="238" spans="1:28">
      <c r="A238" s="151"/>
      <c r="B238" s="146" t="str">
        <f t="shared" si="20"/>
        <v/>
      </c>
      <c r="C238" s="151"/>
      <c r="D238" s="146" t="str">
        <f t="shared" si="21"/>
        <v/>
      </c>
      <c r="E238" s="186"/>
      <c r="F238" s="146" t="str">
        <f t="shared" si="22"/>
        <v/>
      </c>
      <c r="G238" s="185"/>
      <c r="H238" s="185"/>
      <c r="I238" s="185"/>
      <c r="J238" s="201"/>
      <c r="K238" s="200"/>
      <c r="L238" s="200"/>
      <c r="M238" s="201"/>
      <c r="N238" s="201"/>
      <c r="P238" s="141" t="str">
        <f t="shared" si="23"/>
        <v/>
      </c>
      <c r="Q238" s="141" t="str">
        <f t="shared" si="24"/>
        <v/>
      </c>
      <c r="AA238" s="141" t="s">
        <v>1026</v>
      </c>
      <c r="AB238" s="141" t="s">
        <v>1027</v>
      </c>
    </row>
    <row r="239" spans="1:28">
      <c r="A239" s="151"/>
      <c r="B239" s="146" t="str">
        <f t="shared" si="20"/>
        <v/>
      </c>
      <c r="C239" s="151"/>
      <c r="D239" s="146" t="str">
        <f t="shared" si="21"/>
        <v/>
      </c>
      <c r="E239" s="186"/>
      <c r="F239" s="146" t="str">
        <f t="shared" si="22"/>
        <v/>
      </c>
      <c r="G239" s="185"/>
      <c r="H239" s="185"/>
      <c r="I239" s="185"/>
      <c r="J239" s="201"/>
      <c r="K239" s="200"/>
      <c r="L239" s="200"/>
      <c r="M239" s="201"/>
      <c r="N239" s="201"/>
      <c r="P239" s="141" t="str">
        <f t="shared" si="23"/>
        <v/>
      </c>
      <c r="Q239" s="141" t="str">
        <f t="shared" si="24"/>
        <v/>
      </c>
      <c r="AA239" s="141" t="s">
        <v>1028</v>
      </c>
      <c r="AB239" s="141" t="s">
        <v>1029</v>
      </c>
    </row>
    <row r="240" spans="1:28">
      <c r="A240" s="151"/>
      <c r="B240" s="146" t="str">
        <f t="shared" si="20"/>
        <v/>
      </c>
      <c r="C240" s="151"/>
      <c r="D240" s="146" t="str">
        <f t="shared" si="21"/>
        <v/>
      </c>
      <c r="E240" s="186"/>
      <c r="F240" s="146" t="str">
        <f t="shared" si="22"/>
        <v/>
      </c>
      <c r="G240" s="185"/>
      <c r="H240" s="185"/>
      <c r="I240" s="185"/>
      <c r="J240" s="201"/>
      <c r="K240" s="200"/>
      <c r="L240" s="200"/>
      <c r="M240" s="201"/>
      <c r="N240" s="201"/>
      <c r="P240" s="141" t="str">
        <f t="shared" si="23"/>
        <v/>
      </c>
      <c r="Q240" s="141" t="str">
        <f t="shared" si="24"/>
        <v/>
      </c>
      <c r="AA240" s="141" t="s">
        <v>1030</v>
      </c>
      <c r="AB240" s="141" t="s">
        <v>1031</v>
      </c>
    </row>
    <row r="241" spans="1:28">
      <c r="A241" s="151"/>
      <c r="B241" s="146" t="str">
        <f t="shared" si="20"/>
        <v/>
      </c>
      <c r="C241" s="151"/>
      <c r="D241" s="146" t="str">
        <f t="shared" si="21"/>
        <v/>
      </c>
      <c r="E241" s="186"/>
      <c r="F241" s="146" t="str">
        <f t="shared" si="22"/>
        <v/>
      </c>
      <c r="G241" s="185"/>
      <c r="H241" s="185"/>
      <c r="I241" s="185"/>
      <c r="J241" s="201"/>
      <c r="K241" s="200"/>
      <c r="L241" s="200"/>
      <c r="M241" s="201"/>
      <c r="N241" s="201"/>
      <c r="P241" s="141" t="str">
        <f t="shared" si="23"/>
        <v/>
      </c>
      <c r="Q241" s="141" t="str">
        <f t="shared" si="24"/>
        <v/>
      </c>
      <c r="AA241" s="141" t="s">
        <v>1032</v>
      </c>
      <c r="AB241" s="141" t="s">
        <v>1033</v>
      </c>
    </row>
    <row r="242" spans="1:28">
      <c r="A242" s="151"/>
      <c r="B242" s="146" t="str">
        <f t="shared" si="20"/>
        <v/>
      </c>
      <c r="C242" s="151"/>
      <c r="D242" s="146" t="str">
        <f t="shared" si="21"/>
        <v/>
      </c>
      <c r="E242" s="186"/>
      <c r="F242" s="146" t="str">
        <f t="shared" si="22"/>
        <v/>
      </c>
      <c r="G242" s="185"/>
      <c r="H242" s="185"/>
      <c r="I242" s="185"/>
      <c r="J242" s="201"/>
      <c r="K242" s="200"/>
      <c r="L242" s="200"/>
      <c r="M242" s="201"/>
      <c r="N242" s="201"/>
      <c r="P242" s="141" t="str">
        <f t="shared" si="23"/>
        <v/>
      </c>
      <c r="Q242" s="141" t="str">
        <f t="shared" si="24"/>
        <v/>
      </c>
      <c r="AA242" s="141" t="s">
        <v>1034</v>
      </c>
      <c r="AB242" s="141" t="s">
        <v>1035</v>
      </c>
    </row>
    <row r="243" spans="1:28">
      <c r="A243" s="151"/>
      <c r="B243" s="146" t="str">
        <f t="shared" si="20"/>
        <v/>
      </c>
      <c r="C243" s="151"/>
      <c r="D243" s="146" t="str">
        <f t="shared" si="21"/>
        <v/>
      </c>
      <c r="E243" s="186"/>
      <c r="F243" s="146" t="str">
        <f t="shared" si="22"/>
        <v/>
      </c>
      <c r="G243" s="185"/>
      <c r="H243" s="185"/>
      <c r="I243" s="185"/>
      <c r="J243" s="201"/>
      <c r="K243" s="200"/>
      <c r="L243" s="200"/>
      <c r="M243" s="201"/>
      <c r="N243" s="201"/>
      <c r="P243" s="141" t="str">
        <f t="shared" si="23"/>
        <v/>
      </c>
      <c r="Q243" s="141" t="str">
        <f t="shared" si="24"/>
        <v/>
      </c>
      <c r="AA243" s="141" t="s">
        <v>1036</v>
      </c>
      <c r="AB243" s="141" t="s">
        <v>1037</v>
      </c>
    </row>
    <row r="244" spans="1:28">
      <c r="A244" s="151"/>
      <c r="B244" s="146" t="str">
        <f t="shared" si="20"/>
        <v/>
      </c>
      <c r="C244" s="151"/>
      <c r="D244" s="146" t="str">
        <f t="shared" si="21"/>
        <v/>
      </c>
      <c r="E244" s="186"/>
      <c r="F244" s="146" t="str">
        <f t="shared" si="22"/>
        <v/>
      </c>
      <c r="G244" s="185"/>
      <c r="H244" s="185"/>
      <c r="I244" s="185"/>
      <c r="J244" s="201"/>
      <c r="K244" s="200"/>
      <c r="L244" s="200"/>
      <c r="M244" s="201"/>
      <c r="N244" s="201"/>
      <c r="P244" s="141" t="str">
        <f t="shared" si="23"/>
        <v/>
      </c>
      <c r="Q244" s="141" t="str">
        <f t="shared" si="24"/>
        <v/>
      </c>
      <c r="AA244" s="141" t="s">
        <v>1038</v>
      </c>
      <c r="AB244" s="141" t="s">
        <v>1039</v>
      </c>
    </row>
    <row r="245" spans="1:28">
      <c r="A245" s="151"/>
      <c r="B245" s="146" t="str">
        <f t="shared" si="20"/>
        <v/>
      </c>
      <c r="C245" s="151"/>
      <c r="D245" s="146" t="str">
        <f t="shared" si="21"/>
        <v/>
      </c>
      <c r="E245" s="186"/>
      <c r="F245" s="146" t="str">
        <f t="shared" si="22"/>
        <v/>
      </c>
      <c r="G245" s="185"/>
      <c r="H245" s="185"/>
      <c r="I245" s="185"/>
      <c r="J245" s="201"/>
      <c r="K245" s="200"/>
      <c r="L245" s="200"/>
      <c r="M245" s="201"/>
      <c r="N245" s="201"/>
      <c r="P245" s="141" t="str">
        <f t="shared" si="23"/>
        <v/>
      </c>
      <c r="Q245" s="141" t="str">
        <f t="shared" si="24"/>
        <v/>
      </c>
      <c r="AA245" s="141" t="s">
        <v>1040</v>
      </c>
      <c r="AB245" s="141" t="s">
        <v>1041</v>
      </c>
    </row>
    <row r="246" spans="1:28">
      <c r="A246" s="151"/>
      <c r="B246" s="146" t="str">
        <f t="shared" si="20"/>
        <v/>
      </c>
      <c r="C246" s="151"/>
      <c r="D246" s="146" t="str">
        <f t="shared" si="21"/>
        <v/>
      </c>
      <c r="E246" s="186"/>
      <c r="F246" s="146" t="str">
        <f t="shared" si="22"/>
        <v/>
      </c>
      <c r="G246" s="185"/>
      <c r="H246" s="185"/>
      <c r="I246" s="185"/>
      <c r="J246" s="201"/>
      <c r="K246" s="200"/>
      <c r="L246" s="200"/>
      <c r="M246" s="201"/>
      <c r="N246" s="201"/>
      <c r="P246" s="141" t="str">
        <f t="shared" si="23"/>
        <v/>
      </c>
      <c r="Q246" s="141" t="str">
        <f t="shared" si="24"/>
        <v/>
      </c>
      <c r="AA246" s="141" t="s">
        <v>1042</v>
      </c>
      <c r="AB246" s="141" t="s">
        <v>1043</v>
      </c>
    </row>
    <row r="247" spans="1:28">
      <c r="A247" s="151"/>
      <c r="B247" s="146" t="str">
        <f t="shared" si="20"/>
        <v/>
      </c>
      <c r="C247" s="151"/>
      <c r="D247" s="146" t="str">
        <f t="shared" si="21"/>
        <v/>
      </c>
      <c r="E247" s="186"/>
      <c r="F247" s="146" t="str">
        <f t="shared" si="22"/>
        <v/>
      </c>
      <c r="G247" s="185"/>
      <c r="H247" s="185"/>
      <c r="I247" s="185"/>
      <c r="J247" s="201"/>
      <c r="K247" s="200"/>
      <c r="L247" s="200"/>
      <c r="M247" s="201"/>
      <c r="N247" s="201"/>
      <c r="P247" s="141" t="str">
        <f t="shared" si="23"/>
        <v/>
      </c>
      <c r="Q247" s="141" t="str">
        <f t="shared" si="24"/>
        <v/>
      </c>
      <c r="AA247" s="141" t="s">
        <v>1044</v>
      </c>
      <c r="AB247" s="141" t="s">
        <v>1045</v>
      </c>
    </row>
    <row r="248" spans="1:28">
      <c r="A248" s="151"/>
      <c r="B248" s="146" t="str">
        <f t="shared" si="20"/>
        <v/>
      </c>
      <c r="C248" s="151"/>
      <c r="D248" s="146" t="str">
        <f t="shared" si="21"/>
        <v/>
      </c>
      <c r="E248" s="186"/>
      <c r="F248" s="146" t="str">
        <f t="shared" si="22"/>
        <v/>
      </c>
      <c r="G248" s="185"/>
      <c r="H248" s="185"/>
      <c r="I248" s="185"/>
      <c r="J248" s="201"/>
      <c r="K248" s="200"/>
      <c r="L248" s="200"/>
      <c r="M248" s="201"/>
      <c r="N248" s="201"/>
      <c r="P248" s="141" t="str">
        <f t="shared" si="23"/>
        <v/>
      </c>
      <c r="Q248" s="141" t="str">
        <f t="shared" si="24"/>
        <v/>
      </c>
      <c r="AA248" s="141" t="s">
        <v>1046</v>
      </c>
      <c r="AB248" s="141" t="s">
        <v>1047</v>
      </c>
    </row>
    <row r="249" spans="1:28">
      <c r="A249" s="151"/>
      <c r="B249" s="146" t="str">
        <f t="shared" si="20"/>
        <v/>
      </c>
      <c r="C249" s="151"/>
      <c r="D249" s="146" t="str">
        <f t="shared" si="21"/>
        <v/>
      </c>
      <c r="E249" s="186"/>
      <c r="F249" s="146" t="str">
        <f t="shared" si="22"/>
        <v/>
      </c>
      <c r="G249" s="185"/>
      <c r="H249" s="185"/>
      <c r="I249" s="185"/>
      <c r="J249" s="201"/>
      <c r="K249" s="200"/>
      <c r="L249" s="200"/>
      <c r="M249" s="201"/>
      <c r="N249" s="201"/>
      <c r="P249" s="141" t="str">
        <f t="shared" si="23"/>
        <v/>
      </c>
      <c r="Q249" s="141" t="str">
        <f t="shared" si="24"/>
        <v/>
      </c>
      <c r="AA249" s="141" t="s">
        <v>1048</v>
      </c>
      <c r="AB249" s="141" t="s">
        <v>1049</v>
      </c>
    </row>
    <row r="250" spans="1:28">
      <c r="A250" s="151"/>
      <c r="B250" s="146" t="str">
        <f t="shared" si="20"/>
        <v/>
      </c>
      <c r="C250" s="151"/>
      <c r="D250" s="146" t="str">
        <f t="shared" si="21"/>
        <v/>
      </c>
      <c r="E250" s="186"/>
      <c r="F250" s="146" t="str">
        <f t="shared" si="22"/>
        <v/>
      </c>
      <c r="G250" s="185"/>
      <c r="H250" s="185"/>
      <c r="I250" s="185"/>
      <c r="J250" s="201"/>
      <c r="K250" s="200"/>
      <c r="L250" s="200"/>
      <c r="M250" s="201"/>
      <c r="N250" s="201"/>
      <c r="P250" s="141" t="str">
        <f t="shared" si="23"/>
        <v/>
      </c>
      <c r="Q250" s="141" t="str">
        <f t="shared" si="24"/>
        <v/>
      </c>
      <c r="AA250" s="141" t="s">
        <v>1050</v>
      </c>
      <c r="AB250" s="141" t="s">
        <v>1051</v>
      </c>
    </row>
    <row r="251" spans="1:28">
      <c r="A251" s="151"/>
      <c r="B251" s="146" t="str">
        <f t="shared" si="20"/>
        <v/>
      </c>
      <c r="C251" s="151"/>
      <c r="D251" s="146" t="str">
        <f t="shared" si="21"/>
        <v/>
      </c>
      <c r="E251" s="186"/>
      <c r="F251" s="146" t="str">
        <f t="shared" si="22"/>
        <v/>
      </c>
      <c r="G251" s="185"/>
      <c r="H251" s="185"/>
      <c r="I251" s="185"/>
      <c r="J251" s="201"/>
      <c r="K251" s="200"/>
      <c r="L251" s="200"/>
      <c r="M251" s="201"/>
      <c r="N251" s="201"/>
      <c r="P251" s="141" t="str">
        <f t="shared" si="23"/>
        <v/>
      </c>
      <c r="Q251" s="141" t="str">
        <f t="shared" si="24"/>
        <v/>
      </c>
      <c r="AA251" s="141" t="s">
        <v>1052</v>
      </c>
      <c r="AB251" s="141" t="s">
        <v>1053</v>
      </c>
    </row>
    <row r="252" spans="1:28">
      <c r="A252" s="151"/>
      <c r="B252" s="146" t="str">
        <f t="shared" si="20"/>
        <v/>
      </c>
      <c r="C252" s="151"/>
      <c r="D252" s="146" t="str">
        <f t="shared" si="21"/>
        <v/>
      </c>
      <c r="E252" s="186"/>
      <c r="F252" s="146" t="str">
        <f t="shared" si="22"/>
        <v/>
      </c>
      <c r="G252" s="185"/>
      <c r="H252" s="185"/>
      <c r="I252" s="185"/>
      <c r="J252" s="201"/>
      <c r="K252" s="200"/>
      <c r="L252" s="200"/>
      <c r="M252" s="201"/>
      <c r="N252" s="201"/>
      <c r="P252" s="141" t="str">
        <f t="shared" si="23"/>
        <v/>
      </c>
      <c r="Q252" s="141" t="str">
        <f t="shared" si="24"/>
        <v/>
      </c>
      <c r="AA252" s="141" t="s">
        <v>1054</v>
      </c>
      <c r="AB252" s="141" t="s">
        <v>1055</v>
      </c>
    </row>
    <row r="253" spans="1:28">
      <c r="A253" s="151"/>
      <c r="B253" s="146" t="str">
        <f t="shared" si="20"/>
        <v/>
      </c>
      <c r="C253" s="151"/>
      <c r="D253" s="146" t="str">
        <f t="shared" si="21"/>
        <v/>
      </c>
      <c r="E253" s="186"/>
      <c r="F253" s="146" t="str">
        <f t="shared" si="22"/>
        <v/>
      </c>
      <c r="G253" s="185"/>
      <c r="H253" s="185"/>
      <c r="I253" s="185"/>
      <c r="J253" s="201"/>
      <c r="K253" s="200"/>
      <c r="L253" s="200"/>
      <c r="M253" s="201"/>
      <c r="N253" s="201"/>
      <c r="P253" s="141" t="str">
        <f t="shared" si="23"/>
        <v/>
      </c>
      <c r="Q253" s="141" t="str">
        <f t="shared" si="24"/>
        <v/>
      </c>
      <c r="AA253" s="141" t="s">
        <v>1056</v>
      </c>
      <c r="AB253" s="141" t="s">
        <v>1057</v>
      </c>
    </row>
    <row r="254" spans="1:28">
      <c r="A254" s="151"/>
      <c r="B254" s="146" t="str">
        <f t="shared" si="20"/>
        <v/>
      </c>
      <c r="C254" s="151"/>
      <c r="D254" s="146" t="str">
        <f t="shared" si="21"/>
        <v/>
      </c>
      <c r="E254" s="186"/>
      <c r="F254" s="146" t="str">
        <f t="shared" si="22"/>
        <v/>
      </c>
      <c r="G254" s="185"/>
      <c r="H254" s="185"/>
      <c r="I254" s="185"/>
      <c r="J254" s="201"/>
      <c r="K254" s="200"/>
      <c r="L254" s="200"/>
      <c r="M254" s="201"/>
      <c r="N254" s="201"/>
      <c r="P254" s="141" t="str">
        <f t="shared" si="23"/>
        <v/>
      </c>
      <c r="Q254" s="141" t="str">
        <f t="shared" si="24"/>
        <v/>
      </c>
      <c r="AA254" s="141" t="s">
        <v>1058</v>
      </c>
      <c r="AB254" s="141" t="s">
        <v>1059</v>
      </c>
    </row>
    <row r="255" spans="1:28">
      <c r="A255" s="151"/>
      <c r="B255" s="146" t="str">
        <f t="shared" si="20"/>
        <v/>
      </c>
      <c r="C255" s="151"/>
      <c r="D255" s="146" t="str">
        <f t="shared" si="21"/>
        <v/>
      </c>
      <c r="E255" s="186"/>
      <c r="F255" s="146" t="str">
        <f t="shared" si="22"/>
        <v/>
      </c>
      <c r="G255" s="185"/>
      <c r="H255" s="185"/>
      <c r="I255" s="185"/>
      <c r="J255" s="201"/>
      <c r="K255" s="200"/>
      <c r="L255" s="200"/>
      <c r="M255" s="201"/>
      <c r="N255" s="201"/>
      <c r="P255" s="141" t="str">
        <f t="shared" si="23"/>
        <v/>
      </c>
      <c r="Q255" s="141" t="str">
        <f t="shared" si="24"/>
        <v/>
      </c>
      <c r="AA255" s="141" t="s">
        <v>1060</v>
      </c>
      <c r="AB255" s="141" t="s">
        <v>1061</v>
      </c>
    </row>
    <row r="256" spans="1:28">
      <c r="A256" s="151"/>
      <c r="B256" s="146" t="str">
        <f t="shared" si="20"/>
        <v/>
      </c>
      <c r="C256" s="151"/>
      <c r="D256" s="146" t="str">
        <f t="shared" si="21"/>
        <v/>
      </c>
      <c r="E256" s="186"/>
      <c r="F256" s="146" t="str">
        <f t="shared" si="22"/>
        <v/>
      </c>
      <c r="G256" s="185"/>
      <c r="H256" s="185"/>
      <c r="I256" s="185"/>
      <c r="J256" s="201"/>
      <c r="K256" s="200"/>
      <c r="L256" s="200"/>
      <c r="M256" s="201"/>
      <c r="N256" s="201"/>
      <c r="P256" s="141" t="str">
        <f t="shared" si="23"/>
        <v/>
      </c>
      <c r="Q256" s="141" t="str">
        <f t="shared" si="24"/>
        <v/>
      </c>
      <c r="AA256" s="141" t="s">
        <v>1062</v>
      </c>
      <c r="AB256" s="141" t="s">
        <v>1063</v>
      </c>
    </row>
    <row r="257" spans="1:28">
      <c r="A257" s="151"/>
      <c r="B257" s="146" t="str">
        <f t="shared" si="20"/>
        <v/>
      </c>
      <c r="C257" s="151"/>
      <c r="D257" s="146" t="str">
        <f t="shared" si="21"/>
        <v/>
      </c>
      <c r="E257" s="186"/>
      <c r="F257" s="146" t="str">
        <f t="shared" si="22"/>
        <v/>
      </c>
      <c r="G257" s="185"/>
      <c r="H257" s="185"/>
      <c r="I257" s="185"/>
      <c r="J257" s="201"/>
      <c r="K257" s="200"/>
      <c r="L257" s="200"/>
      <c r="M257" s="201"/>
      <c r="N257" s="201"/>
      <c r="P257" s="141" t="str">
        <f t="shared" si="23"/>
        <v/>
      </c>
      <c r="Q257" s="141" t="str">
        <f t="shared" si="24"/>
        <v/>
      </c>
      <c r="AA257" s="141" t="s">
        <v>1064</v>
      </c>
      <c r="AB257" s="141" t="s">
        <v>1065</v>
      </c>
    </row>
    <row r="258" spans="1:28">
      <c r="A258" s="151"/>
      <c r="B258" s="146" t="str">
        <f t="shared" si="20"/>
        <v/>
      </c>
      <c r="C258" s="151"/>
      <c r="D258" s="146" t="str">
        <f t="shared" si="21"/>
        <v/>
      </c>
      <c r="E258" s="186"/>
      <c r="F258" s="146" t="str">
        <f t="shared" si="22"/>
        <v/>
      </c>
      <c r="G258" s="185"/>
      <c r="H258" s="185"/>
      <c r="I258" s="185"/>
      <c r="J258" s="201"/>
      <c r="K258" s="200"/>
      <c r="L258" s="200"/>
      <c r="M258" s="201"/>
      <c r="N258" s="201"/>
      <c r="P258" s="141" t="str">
        <f t="shared" si="23"/>
        <v/>
      </c>
      <c r="Q258" s="141" t="str">
        <f t="shared" si="24"/>
        <v/>
      </c>
      <c r="AA258" s="141" t="s">
        <v>1066</v>
      </c>
      <c r="AB258" s="141" t="s">
        <v>1067</v>
      </c>
    </row>
    <row r="259" spans="1:28">
      <c r="A259" s="151"/>
      <c r="B259" s="146" t="str">
        <f t="shared" si="20"/>
        <v/>
      </c>
      <c r="C259" s="151"/>
      <c r="D259" s="146" t="str">
        <f t="shared" si="21"/>
        <v/>
      </c>
      <c r="E259" s="186"/>
      <c r="F259" s="146" t="str">
        <f t="shared" si="22"/>
        <v/>
      </c>
      <c r="G259" s="185"/>
      <c r="H259" s="185"/>
      <c r="I259" s="185"/>
      <c r="J259" s="201"/>
      <c r="K259" s="200"/>
      <c r="L259" s="200"/>
      <c r="M259" s="201"/>
      <c r="N259" s="201"/>
      <c r="P259" s="141" t="str">
        <f t="shared" si="23"/>
        <v/>
      </c>
      <c r="Q259" s="141" t="str">
        <f t="shared" si="24"/>
        <v/>
      </c>
      <c r="AA259" s="141" t="s">
        <v>1068</v>
      </c>
      <c r="AB259" s="141" t="s">
        <v>1069</v>
      </c>
    </row>
    <row r="260" spans="1:28">
      <c r="A260" s="151"/>
      <c r="B260" s="146" t="str">
        <f t="shared" ref="B260:B323" si="25">IFERROR(VLOOKUP(A260,$R$6:$S$23,2,FALSE),"")</f>
        <v/>
      </c>
      <c r="C260" s="151"/>
      <c r="D260" s="146" t="str">
        <f t="shared" ref="D260:D323" si="26">IFERROR(VLOOKUP(C260,$U$5:$W$129,2,FALSE),"")</f>
        <v/>
      </c>
      <c r="E260" s="186"/>
      <c r="F260" s="146" t="str">
        <f t="shared" ref="F260:F323" si="27">IFERROR(VLOOKUP(E260,$AA$5:$AB$500,2,FALSE),"")</f>
        <v/>
      </c>
      <c r="G260" s="185"/>
      <c r="H260" s="185"/>
      <c r="I260" s="185"/>
      <c r="J260" s="201"/>
      <c r="K260" s="200"/>
      <c r="L260" s="200"/>
      <c r="M260" s="201"/>
      <c r="N260" s="201"/>
      <c r="P260" s="141" t="str">
        <f t="shared" ref="P260:P323" si="28">LEFT(C260,3)</f>
        <v/>
      </c>
      <c r="Q260" s="141" t="str">
        <f t="shared" ref="Q260:Q323" si="29">LEFT(C260,2)</f>
        <v/>
      </c>
      <c r="AA260" s="141" t="s">
        <v>1070</v>
      </c>
      <c r="AB260" s="141" t="s">
        <v>1071</v>
      </c>
    </row>
    <row r="261" spans="1:28">
      <c r="A261" s="151"/>
      <c r="B261" s="146" t="str">
        <f t="shared" si="25"/>
        <v/>
      </c>
      <c r="C261" s="151"/>
      <c r="D261" s="146" t="str">
        <f t="shared" si="26"/>
        <v/>
      </c>
      <c r="E261" s="186"/>
      <c r="F261" s="146" t="str">
        <f t="shared" si="27"/>
        <v/>
      </c>
      <c r="G261" s="185"/>
      <c r="H261" s="185"/>
      <c r="I261" s="185"/>
      <c r="J261" s="201"/>
      <c r="K261" s="200"/>
      <c r="L261" s="200"/>
      <c r="M261" s="201"/>
      <c r="N261" s="201"/>
      <c r="P261" s="141" t="str">
        <f t="shared" si="28"/>
        <v/>
      </c>
      <c r="Q261" s="141" t="str">
        <f t="shared" si="29"/>
        <v/>
      </c>
      <c r="AA261" s="141" t="s">
        <v>1072</v>
      </c>
      <c r="AB261" s="141" t="s">
        <v>1073</v>
      </c>
    </row>
    <row r="262" spans="1:28">
      <c r="A262" s="151"/>
      <c r="B262" s="146" t="str">
        <f t="shared" si="25"/>
        <v/>
      </c>
      <c r="C262" s="151"/>
      <c r="D262" s="146" t="str">
        <f t="shared" si="26"/>
        <v/>
      </c>
      <c r="E262" s="186"/>
      <c r="F262" s="146" t="str">
        <f t="shared" si="27"/>
        <v/>
      </c>
      <c r="G262" s="185"/>
      <c r="H262" s="185"/>
      <c r="I262" s="185"/>
      <c r="J262" s="201"/>
      <c r="K262" s="200"/>
      <c r="L262" s="200"/>
      <c r="M262" s="201"/>
      <c r="N262" s="201"/>
      <c r="P262" s="141" t="str">
        <f t="shared" si="28"/>
        <v/>
      </c>
      <c r="Q262" s="141" t="str">
        <f t="shared" si="29"/>
        <v/>
      </c>
      <c r="AA262" s="141" t="s">
        <v>1074</v>
      </c>
      <c r="AB262" s="141" t="s">
        <v>1075</v>
      </c>
    </row>
    <row r="263" spans="1:28">
      <c r="A263" s="151"/>
      <c r="B263" s="146" t="str">
        <f t="shared" si="25"/>
        <v/>
      </c>
      <c r="C263" s="151"/>
      <c r="D263" s="146" t="str">
        <f t="shared" si="26"/>
        <v/>
      </c>
      <c r="E263" s="186"/>
      <c r="F263" s="146" t="str">
        <f t="shared" si="27"/>
        <v/>
      </c>
      <c r="G263" s="185"/>
      <c r="H263" s="185"/>
      <c r="I263" s="185"/>
      <c r="J263" s="201"/>
      <c r="K263" s="200"/>
      <c r="L263" s="200"/>
      <c r="M263" s="201"/>
      <c r="N263" s="201"/>
      <c r="P263" s="141" t="str">
        <f t="shared" si="28"/>
        <v/>
      </c>
      <c r="Q263" s="141" t="str">
        <f t="shared" si="29"/>
        <v/>
      </c>
      <c r="AA263" s="141" t="s">
        <v>1076</v>
      </c>
      <c r="AB263" s="141" t="s">
        <v>1077</v>
      </c>
    </row>
    <row r="264" spans="1:28">
      <c r="A264" s="151"/>
      <c r="B264" s="146" t="str">
        <f t="shared" si="25"/>
        <v/>
      </c>
      <c r="C264" s="151"/>
      <c r="D264" s="146" t="str">
        <f t="shared" si="26"/>
        <v/>
      </c>
      <c r="E264" s="186"/>
      <c r="F264" s="146" t="str">
        <f t="shared" si="27"/>
        <v/>
      </c>
      <c r="G264" s="185"/>
      <c r="H264" s="185"/>
      <c r="I264" s="185"/>
      <c r="J264" s="201"/>
      <c r="K264" s="200"/>
      <c r="L264" s="200"/>
      <c r="M264" s="201"/>
      <c r="N264" s="201"/>
      <c r="P264" s="141" t="str">
        <f t="shared" si="28"/>
        <v/>
      </c>
      <c r="Q264" s="141" t="str">
        <f t="shared" si="29"/>
        <v/>
      </c>
      <c r="AA264" s="141" t="s">
        <v>1078</v>
      </c>
      <c r="AB264" s="141" t="s">
        <v>1079</v>
      </c>
    </row>
    <row r="265" spans="1:28">
      <c r="A265" s="151"/>
      <c r="B265" s="146" t="str">
        <f t="shared" si="25"/>
        <v/>
      </c>
      <c r="C265" s="151"/>
      <c r="D265" s="146" t="str">
        <f t="shared" si="26"/>
        <v/>
      </c>
      <c r="E265" s="186"/>
      <c r="F265" s="146" t="str">
        <f t="shared" si="27"/>
        <v/>
      </c>
      <c r="G265" s="185"/>
      <c r="H265" s="185"/>
      <c r="I265" s="185"/>
      <c r="J265" s="201"/>
      <c r="K265" s="200"/>
      <c r="L265" s="200"/>
      <c r="M265" s="201"/>
      <c r="N265" s="201"/>
      <c r="P265" s="141" t="str">
        <f t="shared" si="28"/>
        <v/>
      </c>
      <c r="Q265" s="141" t="str">
        <f t="shared" si="29"/>
        <v/>
      </c>
      <c r="AA265" s="141" t="s">
        <v>1080</v>
      </c>
      <c r="AB265" s="141" t="s">
        <v>1081</v>
      </c>
    </row>
    <row r="266" spans="1:28">
      <c r="A266" s="151"/>
      <c r="B266" s="146" t="str">
        <f t="shared" si="25"/>
        <v/>
      </c>
      <c r="C266" s="151"/>
      <c r="D266" s="146" t="str">
        <f t="shared" si="26"/>
        <v/>
      </c>
      <c r="E266" s="186"/>
      <c r="F266" s="146" t="str">
        <f t="shared" si="27"/>
        <v/>
      </c>
      <c r="G266" s="185"/>
      <c r="H266" s="185"/>
      <c r="I266" s="185"/>
      <c r="J266" s="201"/>
      <c r="K266" s="200"/>
      <c r="L266" s="200"/>
      <c r="M266" s="201"/>
      <c r="N266" s="201"/>
      <c r="P266" s="141" t="str">
        <f t="shared" si="28"/>
        <v/>
      </c>
      <c r="Q266" s="141" t="str">
        <f t="shared" si="29"/>
        <v/>
      </c>
      <c r="AA266" s="141" t="s">
        <v>1082</v>
      </c>
      <c r="AB266" s="141" t="s">
        <v>1083</v>
      </c>
    </row>
    <row r="267" spans="1:28">
      <c r="A267" s="151"/>
      <c r="B267" s="146" t="str">
        <f t="shared" si="25"/>
        <v/>
      </c>
      <c r="C267" s="151"/>
      <c r="D267" s="146" t="str">
        <f t="shared" si="26"/>
        <v/>
      </c>
      <c r="E267" s="186"/>
      <c r="F267" s="146" t="str">
        <f t="shared" si="27"/>
        <v/>
      </c>
      <c r="G267" s="185"/>
      <c r="H267" s="185"/>
      <c r="I267" s="185"/>
      <c r="J267" s="201"/>
      <c r="K267" s="200"/>
      <c r="L267" s="200"/>
      <c r="M267" s="201"/>
      <c r="N267" s="201"/>
      <c r="P267" s="141" t="str">
        <f t="shared" si="28"/>
        <v/>
      </c>
      <c r="Q267" s="141" t="str">
        <f t="shared" si="29"/>
        <v/>
      </c>
      <c r="AA267" s="141" t="s">
        <v>1084</v>
      </c>
      <c r="AB267" s="141" t="s">
        <v>1085</v>
      </c>
    </row>
    <row r="268" spans="1:28">
      <c r="A268" s="151"/>
      <c r="B268" s="146" t="str">
        <f t="shared" si="25"/>
        <v/>
      </c>
      <c r="C268" s="151"/>
      <c r="D268" s="146" t="str">
        <f t="shared" si="26"/>
        <v/>
      </c>
      <c r="E268" s="186"/>
      <c r="F268" s="146" t="str">
        <f t="shared" si="27"/>
        <v/>
      </c>
      <c r="G268" s="185"/>
      <c r="H268" s="185"/>
      <c r="I268" s="185"/>
      <c r="J268" s="201"/>
      <c r="K268" s="200"/>
      <c r="L268" s="200"/>
      <c r="M268" s="201"/>
      <c r="N268" s="201"/>
      <c r="P268" s="141" t="str">
        <f t="shared" si="28"/>
        <v/>
      </c>
      <c r="Q268" s="141" t="str">
        <f t="shared" si="29"/>
        <v/>
      </c>
      <c r="AA268" s="141" t="s">
        <v>1086</v>
      </c>
      <c r="AB268" s="141" t="s">
        <v>1087</v>
      </c>
    </row>
    <row r="269" spans="1:28">
      <c r="A269" s="151"/>
      <c r="B269" s="146" t="str">
        <f t="shared" si="25"/>
        <v/>
      </c>
      <c r="C269" s="151"/>
      <c r="D269" s="146" t="str">
        <f t="shared" si="26"/>
        <v/>
      </c>
      <c r="E269" s="186"/>
      <c r="F269" s="146" t="str">
        <f t="shared" si="27"/>
        <v/>
      </c>
      <c r="G269" s="185"/>
      <c r="H269" s="185"/>
      <c r="I269" s="185"/>
      <c r="J269" s="201"/>
      <c r="K269" s="200"/>
      <c r="L269" s="200"/>
      <c r="M269" s="201"/>
      <c r="N269" s="201"/>
      <c r="P269" s="141" t="str">
        <f t="shared" si="28"/>
        <v/>
      </c>
      <c r="Q269" s="141" t="str">
        <f t="shared" si="29"/>
        <v/>
      </c>
      <c r="AA269" s="141" t="s">
        <v>1088</v>
      </c>
      <c r="AB269" s="141" t="s">
        <v>1089</v>
      </c>
    </row>
    <row r="270" spans="1:28">
      <c r="A270" s="151"/>
      <c r="B270" s="146" t="str">
        <f t="shared" si="25"/>
        <v/>
      </c>
      <c r="C270" s="151"/>
      <c r="D270" s="146" t="str">
        <f t="shared" si="26"/>
        <v/>
      </c>
      <c r="E270" s="186"/>
      <c r="F270" s="146" t="str">
        <f t="shared" si="27"/>
        <v/>
      </c>
      <c r="G270" s="185"/>
      <c r="H270" s="185"/>
      <c r="I270" s="185"/>
      <c r="J270" s="201"/>
      <c r="K270" s="200"/>
      <c r="L270" s="200"/>
      <c r="M270" s="201"/>
      <c r="N270" s="201"/>
      <c r="P270" s="141" t="str">
        <f t="shared" si="28"/>
        <v/>
      </c>
      <c r="Q270" s="141" t="str">
        <f t="shared" si="29"/>
        <v/>
      </c>
      <c r="AA270" s="141" t="s">
        <v>1090</v>
      </c>
      <c r="AB270" s="141" t="s">
        <v>1091</v>
      </c>
    </row>
    <row r="271" spans="1:28">
      <c r="A271" s="151"/>
      <c r="B271" s="146" t="str">
        <f t="shared" si="25"/>
        <v/>
      </c>
      <c r="C271" s="151"/>
      <c r="D271" s="146" t="str">
        <f t="shared" si="26"/>
        <v/>
      </c>
      <c r="E271" s="186"/>
      <c r="F271" s="146" t="str">
        <f t="shared" si="27"/>
        <v/>
      </c>
      <c r="G271" s="185"/>
      <c r="H271" s="185"/>
      <c r="I271" s="185"/>
      <c r="J271" s="201"/>
      <c r="K271" s="200"/>
      <c r="L271" s="200"/>
      <c r="M271" s="201"/>
      <c r="N271" s="201"/>
      <c r="P271" s="141" t="str">
        <f t="shared" si="28"/>
        <v/>
      </c>
      <c r="Q271" s="141" t="str">
        <f t="shared" si="29"/>
        <v/>
      </c>
      <c r="AA271" s="141" t="s">
        <v>1092</v>
      </c>
      <c r="AB271" s="141" t="s">
        <v>1093</v>
      </c>
    </row>
    <row r="272" spans="1:28">
      <c r="A272" s="151"/>
      <c r="B272" s="146" t="str">
        <f t="shared" si="25"/>
        <v/>
      </c>
      <c r="C272" s="151"/>
      <c r="D272" s="146" t="str">
        <f t="shared" si="26"/>
        <v/>
      </c>
      <c r="E272" s="186"/>
      <c r="F272" s="146" t="str">
        <f t="shared" si="27"/>
        <v/>
      </c>
      <c r="G272" s="185"/>
      <c r="H272" s="185"/>
      <c r="I272" s="185"/>
      <c r="J272" s="201"/>
      <c r="K272" s="200"/>
      <c r="L272" s="200"/>
      <c r="M272" s="201"/>
      <c r="N272" s="201"/>
      <c r="P272" s="141" t="str">
        <f t="shared" si="28"/>
        <v/>
      </c>
      <c r="Q272" s="141" t="str">
        <f t="shared" si="29"/>
        <v/>
      </c>
      <c r="AA272" s="141" t="s">
        <v>1094</v>
      </c>
      <c r="AB272" s="141" t="s">
        <v>1095</v>
      </c>
    </row>
    <row r="273" spans="1:28">
      <c r="A273" s="151"/>
      <c r="B273" s="146" t="str">
        <f t="shared" si="25"/>
        <v/>
      </c>
      <c r="C273" s="151"/>
      <c r="D273" s="146" t="str">
        <f t="shared" si="26"/>
        <v/>
      </c>
      <c r="E273" s="186"/>
      <c r="F273" s="146" t="str">
        <f t="shared" si="27"/>
        <v/>
      </c>
      <c r="G273" s="185"/>
      <c r="H273" s="185"/>
      <c r="I273" s="185"/>
      <c r="J273" s="201"/>
      <c r="K273" s="200"/>
      <c r="L273" s="200"/>
      <c r="M273" s="201"/>
      <c r="N273" s="201"/>
      <c r="P273" s="141" t="str">
        <f t="shared" si="28"/>
        <v/>
      </c>
      <c r="Q273" s="141" t="str">
        <f t="shared" si="29"/>
        <v/>
      </c>
      <c r="AA273" s="141" t="s">
        <v>1096</v>
      </c>
      <c r="AB273" s="141" t="s">
        <v>1097</v>
      </c>
    </row>
    <row r="274" spans="1:28">
      <c r="A274" s="151"/>
      <c r="B274" s="146" t="str">
        <f t="shared" si="25"/>
        <v/>
      </c>
      <c r="C274" s="151"/>
      <c r="D274" s="146" t="str">
        <f t="shared" si="26"/>
        <v/>
      </c>
      <c r="E274" s="186"/>
      <c r="F274" s="146" t="str">
        <f t="shared" si="27"/>
        <v/>
      </c>
      <c r="G274" s="185"/>
      <c r="H274" s="185"/>
      <c r="I274" s="185"/>
      <c r="J274" s="201"/>
      <c r="K274" s="200"/>
      <c r="L274" s="200"/>
      <c r="M274" s="201"/>
      <c r="N274" s="201"/>
      <c r="P274" s="141" t="str">
        <f t="shared" si="28"/>
        <v/>
      </c>
      <c r="Q274" s="141" t="str">
        <f t="shared" si="29"/>
        <v/>
      </c>
      <c r="AA274" s="141" t="s">
        <v>1098</v>
      </c>
      <c r="AB274" s="141" t="s">
        <v>1099</v>
      </c>
    </row>
    <row r="275" spans="1:28">
      <c r="A275" s="151"/>
      <c r="B275" s="146" t="str">
        <f t="shared" si="25"/>
        <v/>
      </c>
      <c r="C275" s="151"/>
      <c r="D275" s="146" t="str">
        <f t="shared" si="26"/>
        <v/>
      </c>
      <c r="E275" s="186"/>
      <c r="F275" s="146" t="str">
        <f t="shared" si="27"/>
        <v/>
      </c>
      <c r="G275" s="185"/>
      <c r="H275" s="185"/>
      <c r="I275" s="185"/>
      <c r="J275" s="201"/>
      <c r="K275" s="200"/>
      <c r="L275" s="200"/>
      <c r="M275" s="201"/>
      <c r="N275" s="201"/>
      <c r="P275" s="141" t="str">
        <f t="shared" si="28"/>
        <v/>
      </c>
      <c r="Q275" s="141" t="str">
        <f t="shared" si="29"/>
        <v/>
      </c>
      <c r="AA275" s="141" t="s">
        <v>1779</v>
      </c>
      <c r="AB275" s="141" t="s">
        <v>1780</v>
      </c>
    </row>
    <row r="276" spans="1:28">
      <c r="A276" s="151"/>
      <c r="B276" s="146" t="str">
        <f t="shared" si="25"/>
        <v/>
      </c>
      <c r="C276" s="151"/>
      <c r="D276" s="146" t="str">
        <f t="shared" si="26"/>
        <v/>
      </c>
      <c r="E276" s="186"/>
      <c r="F276" s="146" t="str">
        <f t="shared" si="27"/>
        <v/>
      </c>
      <c r="G276" s="185"/>
      <c r="H276" s="185"/>
      <c r="I276" s="185"/>
      <c r="J276" s="201"/>
      <c r="K276" s="200"/>
      <c r="L276" s="200"/>
      <c r="M276" s="201"/>
      <c r="N276" s="201"/>
      <c r="P276" s="141" t="str">
        <f t="shared" si="28"/>
        <v/>
      </c>
      <c r="Q276" s="141" t="str">
        <f t="shared" si="29"/>
        <v/>
      </c>
      <c r="AA276" s="141" t="s">
        <v>1781</v>
      </c>
      <c r="AB276" s="141" t="s">
        <v>1782</v>
      </c>
    </row>
    <row r="277" spans="1:28">
      <c r="A277" s="151"/>
      <c r="B277" s="146" t="str">
        <f t="shared" si="25"/>
        <v/>
      </c>
      <c r="C277" s="151"/>
      <c r="D277" s="146" t="str">
        <f t="shared" si="26"/>
        <v/>
      </c>
      <c r="E277" s="186"/>
      <c r="F277" s="146" t="str">
        <f t="shared" si="27"/>
        <v/>
      </c>
      <c r="G277" s="185"/>
      <c r="H277" s="185"/>
      <c r="I277" s="185"/>
      <c r="J277" s="201"/>
      <c r="K277" s="200"/>
      <c r="L277" s="200"/>
      <c r="M277" s="201"/>
      <c r="N277" s="201"/>
      <c r="P277" s="141" t="str">
        <f t="shared" si="28"/>
        <v/>
      </c>
      <c r="Q277" s="141" t="str">
        <f t="shared" si="29"/>
        <v/>
      </c>
      <c r="AA277" s="141" t="s">
        <v>1783</v>
      </c>
      <c r="AB277" s="141" t="s">
        <v>1784</v>
      </c>
    </row>
    <row r="278" spans="1:28">
      <c r="A278" s="151"/>
      <c r="B278" s="146" t="str">
        <f t="shared" si="25"/>
        <v/>
      </c>
      <c r="C278" s="151"/>
      <c r="D278" s="146" t="str">
        <f t="shared" si="26"/>
        <v/>
      </c>
      <c r="E278" s="186"/>
      <c r="F278" s="146" t="str">
        <f t="shared" si="27"/>
        <v/>
      </c>
      <c r="G278" s="185"/>
      <c r="H278" s="185"/>
      <c r="I278" s="185"/>
      <c r="J278" s="201"/>
      <c r="K278" s="200"/>
      <c r="L278" s="200"/>
      <c r="M278" s="201"/>
      <c r="N278" s="201"/>
      <c r="P278" s="141" t="str">
        <f t="shared" si="28"/>
        <v/>
      </c>
      <c r="Q278" s="141" t="str">
        <f t="shared" si="29"/>
        <v/>
      </c>
      <c r="AA278" s="141" t="s">
        <v>1785</v>
      </c>
      <c r="AB278" s="141" t="s">
        <v>1786</v>
      </c>
    </row>
    <row r="279" spans="1:28">
      <c r="A279" s="151"/>
      <c r="B279" s="146" t="str">
        <f t="shared" si="25"/>
        <v/>
      </c>
      <c r="C279" s="151"/>
      <c r="D279" s="146" t="str">
        <f t="shared" si="26"/>
        <v/>
      </c>
      <c r="E279" s="186"/>
      <c r="F279" s="146" t="str">
        <f t="shared" si="27"/>
        <v/>
      </c>
      <c r="G279" s="185"/>
      <c r="H279" s="185"/>
      <c r="I279" s="185"/>
      <c r="J279" s="201"/>
      <c r="K279" s="200"/>
      <c r="L279" s="200"/>
      <c r="M279" s="201"/>
      <c r="N279" s="201"/>
      <c r="P279" s="141" t="str">
        <f t="shared" si="28"/>
        <v/>
      </c>
      <c r="Q279" s="141" t="str">
        <f t="shared" si="29"/>
        <v/>
      </c>
      <c r="AA279" s="141" t="s">
        <v>1787</v>
      </c>
      <c r="AB279" s="141" t="s">
        <v>1788</v>
      </c>
    </row>
    <row r="280" spans="1:28">
      <c r="A280" s="151"/>
      <c r="B280" s="146" t="str">
        <f t="shared" si="25"/>
        <v/>
      </c>
      <c r="C280" s="151"/>
      <c r="D280" s="146" t="str">
        <f t="shared" si="26"/>
        <v/>
      </c>
      <c r="E280" s="186"/>
      <c r="F280" s="146" t="str">
        <f t="shared" si="27"/>
        <v/>
      </c>
      <c r="G280" s="185"/>
      <c r="H280" s="185"/>
      <c r="I280" s="185"/>
      <c r="J280" s="201"/>
      <c r="K280" s="200"/>
      <c r="L280" s="200"/>
      <c r="M280" s="201"/>
      <c r="N280" s="201"/>
      <c r="P280" s="141" t="str">
        <f t="shared" si="28"/>
        <v/>
      </c>
      <c r="Q280" s="141" t="str">
        <f t="shared" si="29"/>
        <v/>
      </c>
      <c r="AA280" s="141" t="s">
        <v>1789</v>
      </c>
      <c r="AB280" s="141" t="s">
        <v>1790</v>
      </c>
    </row>
    <row r="281" spans="1:28">
      <c r="A281" s="151"/>
      <c r="B281" s="146" t="str">
        <f t="shared" si="25"/>
        <v/>
      </c>
      <c r="C281" s="151"/>
      <c r="D281" s="146" t="str">
        <f t="shared" si="26"/>
        <v/>
      </c>
      <c r="E281" s="186"/>
      <c r="F281" s="146" t="str">
        <f t="shared" si="27"/>
        <v/>
      </c>
      <c r="G281" s="185"/>
      <c r="H281" s="185"/>
      <c r="I281" s="185"/>
      <c r="J281" s="201"/>
      <c r="K281" s="200"/>
      <c r="L281" s="200"/>
      <c r="M281" s="201"/>
      <c r="N281" s="201"/>
      <c r="P281" s="141" t="str">
        <f t="shared" si="28"/>
        <v/>
      </c>
      <c r="Q281" s="141" t="str">
        <f t="shared" si="29"/>
        <v/>
      </c>
      <c r="AA281" s="141" t="s">
        <v>1791</v>
      </c>
      <c r="AB281" s="141" t="s">
        <v>1792</v>
      </c>
    </row>
    <row r="282" spans="1:28">
      <c r="A282" s="151"/>
      <c r="B282" s="146" t="str">
        <f t="shared" si="25"/>
        <v/>
      </c>
      <c r="C282" s="151"/>
      <c r="D282" s="146" t="str">
        <f t="shared" si="26"/>
        <v/>
      </c>
      <c r="E282" s="186"/>
      <c r="F282" s="146" t="str">
        <f t="shared" si="27"/>
        <v/>
      </c>
      <c r="G282" s="185"/>
      <c r="H282" s="185"/>
      <c r="I282" s="185"/>
      <c r="J282" s="201"/>
      <c r="K282" s="200"/>
      <c r="L282" s="200"/>
      <c r="M282" s="201"/>
      <c r="N282" s="201"/>
      <c r="P282" s="141" t="str">
        <f t="shared" si="28"/>
        <v/>
      </c>
      <c r="Q282" s="141" t="str">
        <f t="shared" si="29"/>
        <v/>
      </c>
      <c r="AA282" s="141" t="s">
        <v>1793</v>
      </c>
      <c r="AB282" s="141" t="s">
        <v>1794</v>
      </c>
    </row>
    <row r="283" spans="1:28">
      <c r="A283" s="151"/>
      <c r="B283" s="146" t="str">
        <f t="shared" si="25"/>
        <v/>
      </c>
      <c r="C283" s="151"/>
      <c r="D283" s="146" t="str">
        <f t="shared" si="26"/>
        <v/>
      </c>
      <c r="E283" s="186"/>
      <c r="F283" s="146" t="str">
        <f t="shared" si="27"/>
        <v/>
      </c>
      <c r="G283" s="185"/>
      <c r="H283" s="185"/>
      <c r="I283" s="185"/>
      <c r="J283" s="201"/>
      <c r="K283" s="200"/>
      <c r="L283" s="200"/>
      <c r="M283" s="201"/>
      <c r="N283" s="201"/>
      <c r="P283" s="141" t="str">
        <f t="shared" si="28"/>
        <v/>
      </c>
      <c r="Q283" s="141" t="str">
        <f t="shared" si="29"/>
        <v/>
      </c>
      <c r="AA283" s="141" t="s">
        <v>1795</v>
      </c>
      <c r="AB283" s="141" t="s">
        <v>1796</v>
      </c>
    </row>
    <row r="284" spans="1:28">
      <c r="A284" s="151"/>
      <c r="B284" s="146" t="str">
        <f t="shared" si="25"/>
        <v/>
      </c>
      <c r="C284" s="151"/>
      <c r="D284" s="146" t="str">
        <f t="shared" si="26"/>
        <v/>
      </c>
      <c r="E284" s="186"/>
      <c r="F284" s="146" t="str">
        <f t="shared" si="27"/>
        <v/>
      </c>
      <c r="G284" s="185"/>
      <c r="H284" s="185"/>
      <c r="I284" s="185"/>
      <c r="J284" s="201"/>
      <c r="K284" s="200"/>
      <c r="L284" s="200"/>
      <c r="M284" s="201"/>
      <c r="N284" s="201"/>
      <c r="P284" s="141" t="str">
        <f t="shared" si="28"/>
        <v/>
      </c>
      <c r="Q284" s="141" t="str">
        <f t="shared" si="29"/>
        <v/>
      </c>
      <c r="AA284" s="141" t="s">
        <v>1797</v>
      </c>
      <c r="AB284" s="141" t="s">
        <v>1798</v>
      </c>
    </row>
    <row r="285" spans="1:28">
      <c r="A285" s="151"/>
      <c r="B285" s="146" t="str">
        <f t="shared" si="25"/>
        <v/>
      </c>
      <c r="C285" s="151"/>
      <c r="D285" s="146" t="str">
        <f t="shared" si="26"/>
        <v/>
      </c>
      <c r="E285" s="186"/>
      <c r="F285" s="146" t="str">
        <f t="shared" si="27"/>
        <v/>
      </c>
      <c r="G285" s="185"/>
      <c r="H285" s="185"/>
      <c r="I285" s="185"/>
      <c r="J285" s="201"/>
      <c r="K285" s="200"/>
      <c r="L285" s="200"/>
      <c r="M285" s="201"/>
      <c r="N285" s="201"/>
      <c r="P285" s="141" t="str">
        <f t="shared" si="28"/>
        <v/>
      </c>
      <c r="Q285" s="141" t="str">
        <f t="shared" si="29"/>
        <v/>
      </c>
      <c r="AA285" s="141" t="s">
        <v>1799</v>
      </c>
      <c r="AB285" s="141" t="s">
        <v>1800</v>
      </c>
    </row>
    <row r="286" spans="1:28">
      <c r="A286" s="151"/>
      <c r="B286" s="146" t="str">
        <f t="shared" si="25"/>
        <v/>
      </c>
      <c r="C286" s="151"/>
      <c r="D286" s="146" t="str">
        <f t="shared" si="26"/>
        <v/>
      </c>
      <c r="E286" s="186"/>
      <c r="F286" s="146" t="str">
        <f t="shared" si="27"/>
        <v/>
      </c>
      <c r="G286" s="185"/>
      <c r="H286" s="185"/>
      <c r="I286" s="185"/>
      <c r="J286" s="201"/>
      <c r="K286" s="200"/>
      <c r="L286" s="200"/>
      <c r="M286" s="201"/>
      <c r="N286" s="201"/>
      <c r="P286" s="141" t="str">
        <f t="shared" si="28"/>
        <v/>
      </c>
      <c r="Q286" s="141" t="str">
        <f t="shared" si="29"/>
        <v/>
      </c>
      <c r="AA286" s="141" t="s">
        <v>1801</v>
      </c>
      <c r="AB286" s="141" t="s">
        <v>1802</v>
      </c>
    </row>
    <row r="287" spans="1:28">
      <c r="A287" s="151"/>
      <c r="B287" s="146" t="str">
        <f t="shared" si="25"/>
        <v/>
      </c>
      <c r="C287" s="151"/>
      <c r="D287" s="146" t="str">
        <f t="shared" si="26"/>
        <v/>
      </c>
      <c r="E287" s="186"/>
      <c r="F287" s="146" t="str">
        <f t="shared" si="27"/>
        <v/>
      </c>
      <c r="G287" s="185"/>
      <c r="H287" s="185"/>
      <c r="I287" s="185"/>
      <c r="J287" s="201"/>
      <c r="K287" s="200"/>
      <c r="L287" s="200"/>
      <c r="M287" s="201"/>
      <c r="N287" s="201"/>
      <c r="P287" s="141" t="str">
        <f t="shared" si="28"/>
        <v/>
      </c>
      <c r="Q287" s="141" t="str">
        <f t="shared" si="29"/>
        <v/>
      </c>
      <c r="AA287" s="141" t="s">
        <v>1803</v>
      </c>
      <c r="AB287" s="141" t="s">
        <v>1804</v>
      </c>
    </row>
    <row r="288" spans="1:28">
      <c r="A288" s="151"/>
      <c r="B288" s="146" t="str">
        <f t="shared" si="25"/>
        <v/>
      </c>
      <c r="C288" s="151"/>
      <c r="D288" s="146" t="str">
        <f t="shared" si="26"/>
        <v/>
      </c>
      <c r="E288" s="186"/>
      <c r="F288" s="146" t="str">
        <f t="shared" si="27"/>
        <v/>
      </c>
      <c r="G288" s="185"/>
      <c r="H288" s="185"/>
      <c r="I288" s="185"/>
      <c r="J288" s="201"/>
      <c r="K288" s="200"/>
      <c r="L288" s="200"/>
      <c r="M288" s="201"/>
      <c r="N288" s="201"/>
      <c r="P288" s="141" t="str">
        <f t="shared" si="28"/>
        <v/>
      </c>
      <c r="Q288" s="141" t="str">
        <f t="shared" si="29"/>
        <v/>
      </c>
      <c r="AA288" s="141" t="s">
        <v>1805</v>
      </c>
      <c r="AB288" s="141" t="s">
        <v>1806</v>
      </c>
    </row>
    <row r="289" spans="1:28">
      <c r="A289" s="151"/>
      <c r="B289" s="146" t="str">
        <f t="shared" si="25"/>
        <v/>
      </c>
      <c r="C289" s="151"/>
      <c r="D289" s="146" t="str">
        <f t="shared" si="26"/>
        <v/>
      </c>
      <c r="E289" s="186"/>
      <c r="F289" s="146" t="str">
        <f t="shared" si="27"/>
        <v/>
      </c>
      <c r="G289" s="185"/>
      <c r="H289" s="185"/>
      <c r="I289" s="185"/>
      <c r="J289" s="201"/>
      <c r="K289" s="200"/>
      <c r="L289" s="200"/>
      <c r="M289" s="201"/>
      <c r="N289" s="201"/>
      <c r="P289" s="141" t="str">
        <f t="shared" si="28"/>
        <v/>
      </c>
      <c r="Q289" s="141" t="str">
        <f t="shared" si="29"/>
        <v/>
      </c>
      <c r="AA289" s="141" t="s">
        <v>1807</v>
      </c>
      <c r="AB289" s="141" t="s">
        <v>1808</v>
      </c>
    </row>
    <row r="290" spans="1:28">
      <c r="A290" s="151"/>
      <c r="B290" s="146" t="str">
        <f t="shared" si="25"/>
        <v/>
      </c>
      <c r="C290" s="151"/>
      <c r="D290" s="146" t="str">
        <f t="shared" si="26"/>
        <v/>
      </c>
      <c r="E290" s="186"/>
      <c r="F290" s="146" t="str">
        <f t="shared" si="27"/>
        <v/>
      </c>
      <c r="G290" s="185"/>
      <c r="H290" s="185"/>
      <c r="I290" s="185"/>
      <c r="J290" s="201"/>
      <c r="K290" s="200"/>
      <c r="L290" s="200"/>
      <c r="M290" s="201"/>
      <c r="N290" s="201"/>
      <c r="P290" s="141" t="str">
        <f t="shared" si="28"/>
        <v/>
      </c>
      <c r="Q290" s="141" t="str">
        <f t="shared" si="29"/>
        <v/>
      </c>
      <c r="AA290" s="141" t="s">
        <v>1809</v>
      </c>
      <c r="AB290" s="141" t="s">
        <v>1810</v>
      </c>
    </row>
    <row r="291" spans="1:28">
      <c r="A291" s="151"/>
      <c r="B291" s="146" t="str">
        <f t="shared" si="25"/>
        <v/>
      </c>
      <c r="C291" s="151"/>
      <c r="D291" s="146" t="str">
        <f t="shared" si="26"/>
        <v/>
      </c>
      <c r="E291" s="186"/>
      <c r="F291" s="146" t="str">
        <f t="shared" si="27"/>
        <v/>
      </c>
      <c r="G291" s="185"/>
      <c r="H291" s="185"/>
      <c r="I291" s="185"/>
      <c r="J291" s="201"/>
      <c r="K291" s="200"/>
      <c r="L291" s="200"/>
      <c r="M291" s="201"/>
      <c r="N291" s="201"/>
      <c r="P291" s="141" t="str">
        <f t="shared" si="28"/>
        <v/>
      </c>
      <c r="Q291" s="141" t="str">
        <f t="shared" si="29"/>
        <v/>
      </c>
      <c r="AA291" s="141" t="s">
        <v>1811</v>
      </c>
      <c r="AB291" s="141" t="s">
        <v>1812</v>
      </c>
    </row>
    <row r="292" spans="1:28">
      <c r="A292" s="151"/>
      <c r="B292" s="146" t="str">
        <f t="shared" si="25"/>
        <v/>
      </c>
      <c r="C292" s="151"/>
      <c r="D292" s="146" t="str">
        <f t="shared" si="26"/>
        <v/>
      </c>
      <c r="E292" s="186"/>
      <c r="F292" s="146" t="str">
        <f t="shared" si="27"/>
        <v/>
      </c>
      <c r="G292" s="185"/>
      <c r="H292" s="185"/>
      <c r="I292" s="185"/>
      <c r="J292" s="201"/>
      <c r="K292" s="200"/>
      <c r="L292" s="200"/>
      <c r="M292" s="201"/>
      <c r="N292" s="201"/>
      <c r="P292" s="141" t="str">
        <f t="shared" si="28"/>
        <v/>
      </c>
      <c r="Q292" s="141" t="str">
        <f t="shared" si="29"/>
        <v/>
      </c>
      <c r="AA292" s="141" t="s">
        <v>1813</v>
      </c>
      <c r="AB292" s="141" t="s">
        <v>1814</v>
      </c>
    </row>
    <row r="293" spans="1:28">
      <c r="A293" s="151"/>
      <c r="B293" s="146" t="str">
        <f t="shared" si="25"/>
        <v/>
      </c>
      <c r="C293" s="151"/>
      <c r="D293" s="146" t="str">
        <f t="shared" si="26"/>
        <v/>
      </c>
      <c r="E293" s="186"/>
      <c r="F293" s="146" t="str">
        <f t="shared" si="27"/>
        <v/>
      </c>
      <c r="G293" s="185"/>
      <c r="H293" s="185"/>
      <c r="I293" s="185"/>
      <c r="J293" s="201"/>
      <c r="K293" s="200"/>
      <c r="L293" s="200"/>
      <c r="M293" s="201"/>
      <c r="N293" s="201"/>
      <c r="P293" s="141" t="str">
        <f t="shared" si="28"/>
        <v/>
      </c>
      <c r="Q293" s="141" t="str">
        <f t="shared" si="29"/>
        <v/>
      </c>
      <c r="AA293" s="141" t="s">
        <v>1815</v>
      </c>
      <c r="AB293" s="141" t="s">
        <v>1816</v>
      </c>
    </row>
    <row r="294" spans="1:28">
      <c r="A294" s="151"/>
      <c r="B294" s="146" t="str">
        <f t="shared" si="25"/>
        <v/>
      </c>
      <c r="C294" s="151"/>
      <c r="D294" s="146" t="str">
        <f t="shared" si="26"/>
        <v/>
      </c>
      <c r="E294" s="186"/>
      <c r="F294" s="146" t="str">
        <f t="shared" si="27"/>
        <v/>
      </c>
      <c r="G294" s="185"/>
      <c r="H294" s="185"/>
      <c r="I294" s="185"/>
      <c r="J294" s="201"/>
      <c r="K294" s="200"/>
      <c r="L294" s="200"/>
      <c r="M294" s="201"/>
      <c r="N294" s="201"/>
      <c r="P294" s="141" t="str">
        <f t="shared" si="28"/>
        <v/>
      </c>
      <c r="Q294" s="141" t="str">
        <f t="shared" si="29"/>
        <v/>
      </c>
      <c r="AA294" s="141" t="s">
        <v>1817</v>
      </c>
      <c r="AB294" s="141" t="s">
        <v>1818</v>
      </c>
    </row>
    <row r="295" spans="1:28">
      <c r="A295" s="151"/>
      <c r="B295" s="146" t="str">
        <f t="shared" si="25"/>
        <v/>
      </c>
      <c r="C295" s="151"/>
      <c r="D295" s="146" t="str">
        <f t="shared" si="26"/>
        <v/>
      </c>
      <c r="E295" s="186"/>
      <c r="F295" s="146" t="str">
        <f t="shared" si="27"/>
        <v/>
      </c>
      <c r="G295" s="185"/>
      <c r="H295" s="185"/>
      <c r="I295" s="185"/>
      <c r="J295" s="201"/>
      <c r="K295" s="200"/>
      <c r="L295" s="200"/>
      <c r="M295" s="201"/>
      <c r="N295" s="201"/>
      <c r="P295" s="141" t="str">
        <f t="shared" si="28"/>
        <v/>
      </c>
      <c r="Q295" s="141" t="str">
        <f t="shared" si="29"/>
        <v/>
      </c>
      <c r="AA295" s="141" t="s">
        <v>1819</v>
      </c>
      <c r="AB295" s="141" t="s">
        <v>1820</v>
      </c>
    </row>
    <row r="296" spans="1:28">
      <c r="A296" s="151"/>
      <c r="B296" s="146" t="str">
        <f t="shared" si="25"/>
        <v/>
      </c>
      <c r="C296" s="151"/>
      <c r="D296" s="146" t="str">
        <f t="shared" si="26"/>
        <v/>
      </c>
      <c r="E296" s="186"/>
      <c r="F296" s="146" t="str">
        <f t="shared" si="27"/>
        <v/>
      </c>
      <c r="G296" s="185"/>
      <c r="H296" s="185"/>
      <c r="I296" s="185"/>
      <c r="J296" s="201"/>
      <c r="K296" s="200"/>
      <c r="L296" s="200"/>
      <c r="M296" s="201"/>
      <c r="N296" s="201"/>
      <c r="P296" s="141" t="str">
        <f t="shared" si="28"/>
        <v/>
      </c>
      <c r="Q296" s="141" t="str">
        <f t="shared" si="29"/>
        <v/>
      </c>
      <c r="AA296" s="141" t="s">
        <v>1821</v>
      </c>
      <c r="AB296" s="141" t="s">
        <v>1822</v>
      </c>
    </row>
    <row r="297" spans="1:28">
      <c r="A297" s="151"/>
      <c r="B297" s="146" t="str">
        <f t="shared" si="25"/>
        <v/>
      </c>
      <c r="C297" s="151"/>
      <c r="D297" s="146" t="str">
        <f t="shared" si="26"/>
        <v/>
      </c>
      <c r="E297" s="186"/>
      <c r="F297" s="146" t="str">
        <f t="shared" si="27"/>
        <v/>
      </c>
      <c r="G297" s="185"/>
      <c r="H297" s="185"/>
      <c r="I297" s="185"/>
      <c r="J297" s="201"/>
      <c r="K297" s="200"/>
      <c r="L297" s="200"/>
      <c r="M297" s="201"/>
      <c r="N297" s="201"/>
      <c r="P297" s="141" t="str">
        <f t="shared" si="28"/>
        <v/>
      </c>
      <c r="Q297" s="141" t="str">
        <f t="shared" si="29"/>
        <v/>
      </c>
      <c r="AA297" s="141" t="s">
        <v>1823</v>
      </c>
      <c r="AB297" s="141" t="s">
        <v>1824</v>
      </c>
    </row>
    <row r="298" spans="1:28">
      <c r="A298" s="151"/>
      <c r="B298" s="146" t="str">
        <f t="shared" si="25"/>
        <v/>
      </c>
      <c r="C298" s="151"/>
      <c r="D298" s="146" t="str">
        <f t="shared" si="26"/>
        <v/>
      </c>
      <c r="E298" s="186"/>
      <c r="F298" s="146" t="str">
        <f t="shared" si="27"/>
        <v/>
      </c>
      <c r="G298" s="185"/>
      <c r="H298" s="185"/>
      <c r="I298" s="185"/>
      <c r="J298" s="201"/>
      <c r="K298" s="200"/>
      <c r="L298" s="200"/>
      <c r="M298" s="201"/>
      <c r="N298" s="201"/>
      <c r="P298" s="141" t="str">
        <f t="shared" si="28"/>
        <v/>
      </c>
      <c r="Q298" s="141" t="str">
        <f t="shared" si="29"/>
        <v/>
      </c>
      <c r="AA298" s="141" t="s">
        <v>1825</v>
      </c>
      <c r="AB298" s="141" t="s">
        <v>1826</v>
      </c>
    </row>
    <row r="299" spans="1:28">
      <c r="A299" s="151"/>
      <c r="B299" s="146" t="str">
        <f t="shared" si="25"/>
        <v/>
      </c>
      <c r="C299" s="151"/>
      <c r="D299" s="146" t="str">
        <f t="shared" si="26"/>
        <v/>
      </c>
      <c r="E299" s="186"/>
      <c r="F299" s="146" t="str">
        <f t="shared" si="27"/>
        <v/>
      </c>
      <c r="G299" s="185"/>
      <c r="H299" s="185"/>
      <c r="I299" s="185"/>
      <c r="J299" s="201"/>
      <c r="K299" s="200"/>
      <c r="L299" s="200"/>
      <c r="M299" s="201"/>
      <c r="N299" s="201"/>
      <c r="P299" s="141" t="str">
        <f t="shared" si="28"/>
        <v/>
      </c>
      <c r="Q299" s="141" t="str">
        <f t="shared" si="29"/>
        <v/>
      </c>
      <c r="AA299" s="141" t="s">
        <v>1827</v>
      </c>
      <c r="AB299" s="141" t="s">
        <v>1828</v>
      </c>
    </row>
    <row r="300" spans="1:28">
      <c r="A300" s="151"/>
      <c r="B300" s="146" t="str">
        <f t="shared" si="25"/>
        <v/>
      </c>
      <c r="C300" s="151"/>
      <c r="D300" s="146" t="str">
        <f t="shared" si="26"/>
        <v/>
      </c>
      <c r="E300" s="186"/>
      <c r="F300" s="146" t="str">
        <f t="shared" si="27"/>
        <v/>
      </c>
      <c r="G300" s="185"/>
      <c r="H300" s="185"/>
      <c r="I300" s="185"/>
      <c r="J300" s="201"/>
      <c r="K300" s="200"/>
      <c r="L300" s="200"/>
      <c r="M300" s="201"/>
      <c r="N300" s="201"/>
      <c r="P300" s="141" t="str">
        <f t="shared" si="28"/>
        <v/>
      </c>
      <c r="Q300" s="141" t="str">
        <f t="shared" si="29"/>
        <v/>
      </c>
      <c r="AA300" s="141" t="s">
        <v>1829</v>
      </c>
      <c r="AB300" s="141" t="s">
        <v>1830</v>
      </c>
    </row>
    <row r="301" spans="1:28">
      <c r="A301" s="151"/>
      <c r="B301" s="146" t="str">
        <f t="shared" si="25"/>
        <v/>
      </c>
      <c r="C301" s="151"/>
      <c r="D301" s="146" t="str">
        <f t="shared" si="26"/>
        <v/>
      </c>
      <c r="E301" s="186"/>
      <c r="F301" s="146" t="str">
        <f t="shared" si="27"/>
        <v/>
      </c>
      <c r="G301" s="185"/>
      <c r="H301" s="185"/>
      <c r="I301" s="185"/>
      <c r="J301" s="201"/>
      <c r="K301" s="200"/>
      <c r="L301" s="200"/>
      <c r="M301" s="201"/>
      <c r="N301" s="201"/>
      <c r="P301" s="141" t="str">
        <f t="shared" si="28"/>
        <v/>
      </c>
      <c r="Q301" s="141" t="str">
        <f t="shared" si="29"/>
        <v/>
      </c>
      <c r="AA301" s="141" t="s">
        <v>1831</v>
      </c>
      <c r="AB301" s="141" t="s">
        <v>1832</v>
      </c>
    </row>
    <row r="302" spans="1:28">
      <c r="A302" s="151"/>
      <c r="B302" s="146" t="str">
        <f t="shared" si="25"/>
        <v/>
      </c>
      <c r="C302" s="151"/>
      <c r="D302" s="146" t="str">
        <f t="shared" si="26"/>
        <v/>
      </c>
      <c r="E302" s="186"/>
      <c r="F302" s="146" t="str">
        <f t="shared" si="27"/>
        <v/>
      </c>
      <c r="G302" s="185"/>
      <c r="H302" s="185"/>
      <c r="I302" s="185"/>
      <c r="J302" s="201"/>
      <c r="K302" s="200"/>
      <c r="L302" s="200"/>
      <c r="M302" s="201"/>
      <c r="N302" s="201"/>
      <c r="P302" s="141" t="str">
        <f t="shared" si="28"/>
        <v/>
      </c>
      <c r="Q302" s="141" t="str">
        <f t="shared" si="29"/>
        <v/>
      </c>
      <c r="AA302" s="141" t="s">
        <v>1833</v>
      </c>
      <c r="AB302" s="141" t="s">
        <v>1834</v>
      </c>
    </row>
    <row r="303" spans="1:28">
      <c r="A303" s="151"/>
      <c r="B303" s="146" t="str">
        <f t="shared" si="25"/>
        <v/>
      </c>
      <c r="C303" s="151"/>
      <c r="D303" s="146" t="str">
        <f t="shared" si="26"/>
        <v/>
      </c>
      <c r="E303" s="186"/>
      <c r="F303" s="146" t="str">
        <f t="shared" si="27"/>
        <v/>
      </c>
      <c r="G303" s="185"/>
      <c r="H303" s="185"/>
      <c r="I303" s="185"/>
      <c r="J303" s="201"/>
      <c r="K303" s="200"/>
      <c r="L303" s="200"/>
      <c r="M303" s="201"/>
      <c r="N303" s="201"/>
      <c r="P303" s="141" t="str">
        <f t="shared" si="28"/>
        <v/>
      </c>
      <c r="Q303" s="141" t="str">
        <f t="shared" si="29"/>
        <v/>
      </c>
      <c r="AA303" s="141" t="s">
        <v>1835</v>
      </c>
      <c r="AB303" s="141" t="s">
        <v>1836</v>
      </c>
    </row>
    <row r="304" spans="1:28">
      <c r="A304" s="151"/>
      <c r="B304" s="146" t="str">
        <f t="shared" si="25"/>
        <v/>
      </c>
      <c r="C304" s="151"/>
      <c r="D304" s="146" t="str">
        <f t="shared" si="26"/>
        <v/>
      </c>
      <c r="E304" s="186"/>
      <c r="F304" s="146" t="str">
        <f t="shared" si="27"/>
        <v/>
      </c>
      <c r="G304" s="185"/>
      <c r="H304" s="185"/>
      <c r="I304" s="185"/>
      <c r="J304" s="201"/>
      <c r="K304" s="200"/>
      <c r="L304" s="200"/>
      <c r="M304" s="201"/>
      <c r="N304" s="201"/>
      <c r="P304" s="141" t="str">
        <f t="shared" si="28"/>
        <v/>
      </c>
      <c r="Q304" s="141" t="str">
        <f t="shared" si="29"/>
        <v/>
      </c>
      <c r="AA304" s="141" t="s">
        <v>1837</v>
      </c>
      <c r="AB304" s="141" t="s">
        <v>1838</v>
      </c>
    </row>
    <row r="305" spans="1:28">
      <c r="A305" s="151"/>
      <c r="B305" s="146" t="str">
        <f t="shared" si="25"/>
        <v/>
      </c>
      <c r="C305" s="151"/>
      <c r="D305" s="146" t="str">
        <f t="shared" si="26"/>
        <v/>
      </c>
      <c r="E305" s="186"/>
      <c r="F305" s="146" t="str">
        <f t="shared" si="27"/>
        <v/>
      </c>
      <c r="G305" s="185"/>
      <c r="H305" s="185"/>
      <c r="I305" s="185"/>
      <c r="J305" s="201"/>
      <c r="K305" s="200"/>
      <c r="L305" s="200"/>
      <c r="M305" s="201"/>
      <c r="N305" s="201"/>
      <c r="P305" s="141" t="str">
        <f t="shared" si="28"/>
        <v/>
      </c>
      <c r="Q305" s="141" t="str">
        <f t="shared" si="29"/>
        <v/>
      </c>
      <c r="AA305" s="141" t="s">
        <v>1839</v>
      </c>
      <c r="AB305" s="141" t="s">
        <v>1840</v>
      </c>
    </row>
    <row r="306" spans="1:28">
      <c r="A306" s="151"/>
      <c r="B306" s="146" t="str">
        <f t="shared" si="25"/>
        <v/>
      </c>
      <c r="C306" s="151"/>
      <c r="D306" s="146" t="str">
        <f t="shared" si="26"/>
        <v/>
      </c>
      <c r="E306" s="186"/>
      <c r="F306" s="146" t="str">
        <f t="shared" si="27"/>
        <v/>
      </c>
      <c r="G306" s="185"/>
      <c r="H306" s="185"/>
      <c r="I306" s="185"/>
      <c r="J306" s="201"/>
      <c r="K306" s="200"/>
      <c r="L306" s="200"/>
      <c r="M306" s="201"/>
      <c r="N306" s="201"/>
      <c r="P306" s="141" t="str">
        <f t="shared" si="28"/>
        <v/>
      </c>
      <c r="Q306" s="141" t="str">
        <f t="shared" si="29"/>
        <v/>
      </c>
      <c r="AA306" s="141" t="s">
        <v>1841</v>
      </c>
      <c r="AB306" s="141" t="s">
        <v>1842</v>
      </c>
    </row>
    <row r="307" spans="1:28">
      <c r="A307" s="151"/>
      <c r="B307" s="146" t="str">
        <f t="shared" si="25"/>
        <v/>
      </c>
      <c r="C307" s="151"/>
      <c r="D307" s="146" t="str">
        <f t="shared" si="26"/>
        <v/>
      </c>
      <c r="E307" s="186"/>
      <c r="F307" s="146" t="str">
        <f t="shared" si="27"/>
        <v/>
      </c>
      <c r="G307" s="185"/>
      <c r="H307" s="185"/>
      <c r="I307" s="185"/>
      <c r="J307" s="201"/>
      <c r="K307" s="200"/>
      <c r="L307" s="200"/>
      <c r="M307" s="201"/>
      <c r="N307" s="201"/>
      <c r="P307" s="141" t="str">
        <f t="shared" si="28"/>
        <v/>
      </c>
      <c r="Q307" s="141" t="str">
        <f t="shared" si="29"/>
        <v/>
      </c>
      <c r="AA307" s="141" t="s">
        <v>1843</v>
      </c>
      <c r="AB307" s="141" t="s">
        <v>1844</v>
      </c>
    </row>
    <row r="308" spans="1:28">
      <c r="A308" s="151"/>
      <c r="B308" s="146" t="str">
        <f t="shared" si="25"/>
        <v/>
      </c>
      <c r="C308" s="151"/>
      <c r="D308" s="146" t="str">
        <f t="shared" si="26"/>
        <v/>
      </c>
      <c r="E308" s="186"/>
      <c r="F308" s="146" t="str">
        <f t="shared" si="27"/>
        <v/>
      </c>
      <c r="G308" s="185"/>
      <c r="H308" s="185"/>
      <c r="I308" s="185"/>
      <c r="J308" s="201"/>
      <c r="K308" s="200"/>
      <c r="L308" s="200"/>
      <c r="M308" s="201"/>
      <c r="N308" s="201"/>
      <c r="P308" s="141" t="str">
        <f t="shared" si="28"/>
        <v/>
      </c>
      <c r="Q308" s="141" t="str">
        <f t="shared" si="29"/>
        <v/>
      </c>
      <c r="AA308" s="141" t="s">
        <v>1845</v>
      </c>
      <c r="AB308" s="141" t="s">
        <v>1846</v>
      </c>
    </row>
    <row r="309" spans="1:28">
      <c r="A309" s="151"/>
      <c r="B309" s="146" t="str">
        <f t="shared" si="25"/>
        <v/>
      </c>
      <c r="C309" s="151"/>
      <c r="D309" s="146" t="str">
        <f t="shared" si="26"/>
        <v/>
      </c>
      <c r="E309" s="186"/>
      <c r="F309" s="146" t="str">
        <f t="shared" si="27"/>
        <v/>
      </c>
      <c r="G309" s="185"/>
      <c r="H309" s="185"/>
      <c r="I309" s="185"/>
      <c r="J309" s="201"/>
      <c r="K309" s="200"/>
      <c r="L309" s="200"/>
      <c r="M309" s="201"/>
      <c r="N309" s="201"/>
      <c r="P309" s="141" t="str">
        <f t="shared" si="28"/>
        <v/>
      </c>
      <c r="Q309" s="141" t="str">
        <f t="shared" si="29"/>
        <v/>
      </c>
      <c r="AA309" s="141" t="s">
        <v>1847</v>
      </c>
      <c r="AB309" s="141" t="s">
        <v>1848</v>
      </c>
    </row>
    <row r="310" spans="1:28">
      <c r="A310" s="151"/>
      <c r="B310" s="146" t="str">
        <f t="shared" si="25"/>
        <v/>
      </c>
      <c r="C310" s="151"/>
      <c r="D310" s="146" t="str">
        <f t="shared" si="26"/>
        <v/>
      </c>
      <c r="E310" s="186"/>
      <c r="F310" s="146" t="str">
        <f t="shared" si="27"/>
        <v/>
      </c>
      <c r="G310" s="185"/>
      <c r="H310" s="185"/>
      <c r="I310" s="185"/>
      <c r="J310" s="201"/>
      <c r="K310" s="200"/>
      <c r="L310" s="200"/>
      <c r="M310" s="201"/>
      <c r="N310" s="201"/>
      <c r="P310" s="141" t="str">
        <f t="shared" si="28"/>
        <v/>
      </c>
      <c r="Q310" s="141" t="str">
        <f t="shared" si="29"/>
        <v/>
      </c>
      <c r="AA310" s="141" t="s">
        <v>1849</v>
      </c>
      <c r="AB310" s="141" t="s">
        <v>1850</v>
      </c>
    </row>
    <row r="311" spans="1:28">
      <c r="A311" s="151"/>
      <c r="B311" s="146" t="str">
        <f t="shared" si="25"/>
        <v/>
      </c>
      <c r="C311" s="151"/>
      <c r="D311" s="146" t="str">
        <f t="shared" si="26"/>
        <v/>
      </c>
      <c r="E311" s="186"/>
      <c r="F311" s="146" t="str">
        <f t="shared" si="27"/>
        <v/>
      </c>
      <c r="G311" s="185"/>
      <c r="H311" s="185"/>
      <c r="I311" s="185"/>
      <c r="J311" s="201"/>
      <c r="K311" s="200"/>
      <c r="L311" s="200"/>
      <c r="M311" s="201"/>
      <c r="N311" s="201"/>
      <c r="P311" s="141" t="str">
        <f t="shared" si="28"/>
        <v/>
      </c>
      <c r="Q311" s="141" t="str">
        <f t="shared" si="29"/>
        <v/>
      </c>
      <c r="AA311" s="141" t="s">
        <v>1851</v>
      </c>
      <c r="AB311" s="141" t="s">
        <v>1852</v>
      </c>
    </row>
    <row r="312" spans="1:28">
      <c r="A312" s="151"/>
      <c r="B312" s="146" t="str">
        <f t="shared" si="25"/>
        <v/>
      </c>
      <c r="C312" s="151"/>
      <c r="D312" s="146" t="str">
        <f t="shared" si="26"/>
        <v/>
      </c>
      <c r="E312" s="186"/>
      <c r="F312" s="146" t="str">
        <f t="shared" si="27"/>
        <v/>
      </c>
      <c r="G312" s="185"/>
      <c r="H312" s="185"/>
      <c r="I312" s="185"/>
      <c r="J312" s="201"/>
      <c r="K312" s="200"/>
      <c r="L312" s="200"/>
      <c r="M312" s="201"/>
      <c r="N312" s="201"/>
      <c r="P312" s="141" t="str">
        <f t="shared" si="28"/>
        <v/>
      </c>
      <c r="Q312" s="141" t="str">
        <f t="shared" si="29"/>
        <v/>
      </c>
      <c r="AA312" s="141" t="s">
        <v>1853</v>
      </c>
      <c r="AB312" s="141" t="s">
        <v>1854</v>
      </c>
    </row>
    <row r="313" spans="1:28">
      <c r="A313" s="151"/>
      <c r="B313" s="146" t="str">
        <f t="shared" si="25"/>
        <v/>
      </c>
      <c r="C313" s="151"/>
      <c r="D313" s="146" t="str">
        <f t="shared" si="26"/>
        <v/>
      </c>
      <c r="E313" s="186"/>
      <c r="F313" s="146" t="str">
        <f t="shared" si="27"/>
        <v/>
      </c>
      <c r="G313" s="185"/>
      <c r="H313" s="185"/>
      <c r="I313" s="185"/>
      <c r="J313" s="201"/>
      <c r="K313" s="200"/>
      <c r="L313" s="200"/>
      <c r="M313" s="201"/>
      <c r="N313" s="201"/>
      <c r="P313" s="141" t="str">
        <f t="shared" si="28"/>
        <v/>
      </c>
      <c r="Q313" s="141" t="str">
        <f t="shared" si="29"/>
        <v/>
      </c>
      <c r="AA313" s="141" t="s">
        <v>1855</v>
      </c>
      <c r="AB313" s="141" t="s">
        <v>1856</v>
      </c>
    </row>
    <row r="314" spans="1:28">
      <c r="A314" s="151"/>
      <c r="B314" s="146" t="str">
        <f t="shared" si="25"/>
        <v/>
      </c>
      <c r="C314" s="151"/>
      <c r="D314" s="146" t="str">
        <f t="shared" si="26"/>
        <v/>
      </c>
      <c r="E314" s="186"/>
      <c r="F314" s="146" t="str">
        <f t="shared" si="27"/>
        <v/>
      </c>
      <c r="G314" s="185"/>
      <c r="H314" s="185"/>
      <c r="I314" s="185"/>
      <c r="J314" s="201"/>
      <c r="K314" s="200"/>
      <c r="L314" s="200"/>
      <c r="M314" s="201"/>
      <c r="N314" s="201"/>
      <c r="P314" s="141" t="str">
        <f t="shared" si="28"/>
        <v/>
      </c>
      <c r="Q314" s="141" t="str">
        <f t="shared" si="29"/>
        <v/>
      </c>
      <c r="AA314" s="141" t="s">
        <v>1857</v>
      </c>
      <c r="AB314" s="141" t="s">
        <v>1858</v>
      </c>
    </row>
    <row r="315" spans="1:28">
      <c r="A315" s="151"/>
      <c r="B315" s="146" t="str">
        <f t="shared" si="25"/>
        <v/>
      </c>
      <c r="C315" s="151"/>
      <c r="D315" s="146" t="str">
        <f t="shared" si="26"/>
        <v/>
      </c>
      <c r="E315" s="186"/>
      <c r="F315" s="146" t="str">
        <f t="shared" si="27"/>
        <v/>
      </c>
      <c r="G315" s="185"/>
      <c r="H315" s="185"/>
      <c r="I315" s="185"/>
      <c r="J315" s="201"/>
      <c r="K315" s="200"/>
      <c r="L315" s="200"/>
      <c r="M315" s="201"/>
      <c r="N315" s="201"/>
      <c r="P315" s="141" t="str">
        <f t="shared" si="28"/>
        <v/>
      </c>
      <c r="Q315" s="141" t="str">
        <f t="shared" si="29"/>
        <v/>
      </c>
      <c r="AA315" s="141" t="s">
        <v>1859</v>
      </c>
      <c r="AB315" s="141" t="s">
        <v>1860</v>
      </c>
    </row>
    <row r="316" spans="1:28">
      <c r="A316" s="151"/>
      <c r="B316" s="146" t="str">
        <f t="shared" si="25"/>
        <v/>
      </c>
      <c r="C316" s="151"/>
      <c r="D316" s="146" t="str">
        <f t="shared" si="26"/>
        <v/>
      </c>
      <c r="E316" s="186"/>
      <c r="F316" s="146" t="str">
        <f t="shared" si="27"/>
        <v/>
      </c>
      <c r="G316" s="185"/>
      <c r="H316" s="185"/>
      <c r="I316" s="185"/>
      <c r="J316" s="201"/>
      <c r="K316" s="200"/>
      <c r="L316" s="200"/>
      <c r="M316" s="201"/>
      <c r="N316" s="201"/>
      <c r="P316" s="141" t="str">
        <f t="shared" si="28"/>
        <v/>
      </c>
      <c r="Q316" s="141" t="str">
        <f t="shared" si="29"/>
        <v/>
      </c>
      <c r="AA316" s="141" t="s">
        <v>1861</v>
      </c>
      <c r="AB316" s="141" t="s">
        <v>1862</v>
      </c>
    </row>
    <row r="317" spans="1:28">
      <c r="A317" s="151"/>
      <c r="B317" s="146" t="str">
        <f t="shared" si="25"/>
        <v/>
      </c>
      <c r="C317" s="151"/>
      <c r="D317" s="146" t="str">
        <f t="shared" si="26"/>
        <v/>
      </c>
      <c r="E317" s="186"/>
      <c r="F317" s="146" t="str">
        <f t="shared" si="27"/>
        <v/>
      </c>
      <c r="G317" s="185"/>
      <c r="H317" s="185"/>
      <c r="I317" s="185"/>
      <c r="J317" s="201"/>
      <c r="K317" s="200"/>
      <c r="L317" s="200"/>
      <c r="M317" s="201"/>
      <c r="N317" s="201"/>
      <c r="P317" s="141" t="str">
        <f t="shared" si="28"/>
        <v/>
      </c>
      <c r="Q317" s="141" t="str">
        <f t="shared" si="29"/>
        <v/>
      </c>
      <c r="AA317" s="141" t="s">
        <v>1863</v>
      </c>
      <c r="AB317" s="141" t="s">
        <v>1864</v>
      </c>
    </row>
    <row r="318" spans="1:28">
      <c r="A318" s="151"/>
      <c r="B318" s="146" t="str">
        <f t="shared" si="25"/>
        <v/>
      </c>
      <c r="C318" s="151"/>
      <c r="D318" s="146" t="str">
        <f t="shared" si="26"/>
        <v/>
      </c>
      <c r="E318" s="186"/>
      <c r="F318" s="146" t="str">
        <f t="shared" si="27"/>
        <v/>
      </c>
      <c r="G318" s="185"/>
      <c r="H318" s="185"/>
      <c r="I318" s="185"/>
      <c r="J318" s="201"/>
      <c r="K318" s="200"/>
      <c r="L318" s="200"/>
      <c r="M318" s="201"/>
      <c r="N318" s="201"/>
      <c r="P318" s="141" t="str">
        <f t="shared" si="28"/>
        <v/>
      </c>
      <c r="Q318" s="141" t="str">
        <f t="shared" si="29"/>
        <v/>
      </c>
      <c r="AA318" s="141" t="s">
        <v>1865</v>
      </c>
      <c r="AB318" s="141" t="s">
        <v>1866</v>
      </c>
    </row>
    <row r="319" spans="1:28">
      <c r="A319" s="151"/>
      <c r="B319" s="146" t="str">
        <f t="shared" si="25"/>
        <v/>
      </c>
      <c r="C319" s="151"/>
      <c r="D319" s="146" t="str">
        <f t="shared" si="26"/>
        <v/>
      </c>
      <c r="E319" s="186"/>
      <c r="F319" s="146" t="str">
        <f t="shared" si="27"/>
        <v/>
      </c>
      <c r="G319" s="185"/>
      <c r="H319" s="185"/>
      <c r="I319" s="185"/>
      <c r="J319" s="201"/>
      <c r="K319" s="200"/>
      <c r="L319" s="200"/>
      <c r="M319" s="201"/>
      <c r="N319" s="201"/>
      <c r="P319" s="141" t="str">
        <f t="shared" si="28"/>
        <v/>
      </c>
      <c r="Q319" s="141" t="str">
        <f t="shared" si="29"/>
        <v/>
      </c>
      <c r="AA319" s="141" t="s">
        <v>1867</v>
      </c>
      <c r="AB319" s="141" t="s">
        <v>1868</v>
      </c>
    </row>
    <row r="320" spans="1:28">
      <c r="A320" s="151"/>
      <c r="B320" s="146" t="str">
        <f t="shared" si="25"/>
        <v/>
      </c>
      <c r="C320" s="151"/>
      <c r="D320" s="146" t="str">
        <f t="shared" si="26"/>
        <v/>
      </c>
      <c r="E320" s="186"/>
      <c r="F320" s="146" t="str">
        <f t="shared" si="27"/>
        <v/>
      </c>
      <c r="G320" s="185"/>
      <c r="H320" s="185"/>
      <c r="I320" s="185"/>
      <c r="J320" s="201"/>
      <c r="K320" s="200"/>
      <c r="L320" s="200"/>
      <c r="M320" s="201"/>
      <c r="N320" s="201"/>
      <c r="P320" s="141" t="str">
        <f t="shared" si="28"/>
        <v/>
      </c>
      <c r="Q320" s="141" t="str">
        <f t="shared" si="29"/>
        <v/>
      </c>
      <c r="AA320" s="141" t="s">
        <v>1869</v>
      </c>
      <c r="AB320" s="141" t="s">
        <v>1870</v>
      </c>
    </row>
    <row r="321" spans="1:28">
      <c r="A321" s="151"/>
      <c r="B321" s="146" t="str">
        <f t="shared" si="25"/>
        <v/>
      </c>
      <c r="C321" s="151"/>
      <c r="D321" s="146" t="str">
        <f t="shared" si="26"/>
        <v/>
      </c>
      <c r="E321" s="186"/>
      <c r="F321" s="146" t="str">
        <f t="shared" si="27"/>
        <v/>
      </c>
      <c r="G321" s="185"/>
      <c r="H321" s="185"/>
      <c r="I321" s="185"/>
      <c r="J321" s="201"/>
      <c r="K321" s="200"/>
      <c r="L321" s="200"/>
      <c r="M321" s="201"/>
      <c r="N321" s="201"/>
      <c r="P321" s="141" t="str">
        <f t="shared" si="28"/>
        <v/>
      </c>
      <c r="Q321" s="141" t="str">
        <f t="shared" si="29"/>
        <v/>
      </c>
      <c r="AA321" s="141" t="s">
        <v>1871</v>
      </c>
      <c r="AB321" s="141" t="s">
        <v>1872</v>
      </c>
    </row>
    <row r="322" spans="1:28">
      <c r="A322" s="151"/>
      <c r="B322" s="146" t="str">
        <f t="shared" si="25"/>
        <v/>
      </c>
      <c r="C322" s="151"/>
      <c r="D322" s="146" t="str">
        <f t="shared" si="26"/>
        <v/>
      </c>
      <c r="E322" s="186"/>
      <c r="F322" s="146" t="str">
        <f t="shared" si="27"/>
        <v/>
      </c>
      <c r="G322" s="185"/>
      <c r="H322" s="185"/>
      <c r="I322" s="185"/>
      <c r="J322" s="201"/>
      <c r="K322" s="200"/>
      <c r="L322" s="200"/>
      <c r="M322" s="201"/>
      <c r="N322" s="201"/>
      <c r="P322" s="141" t="str">
        <f t="shared" si="28"/>
        <v/>
      </c>
      <c r="Q322" s="141" t="str">
        <f t="shared" si="29"/>
        <v/>
      </c>
      <c r="AA322" s="141" t="s">
        <v>1873</v>
      </c>
      <c r="AB322" s="141" t="s">
        <v>1874</v>
      </c>
    </row>
    <row r="323" spans="1:28">
      <c r="A323" s="151"/>
      <c r="B323" s="146" t="str">
        <f t="shared" si="25"/>
        <v/>
      </c>
      <c r="C323" s="151"/>
      <c r="D323" s="146" t="str">
        <f t="shared" si="26"/>
        <v/>
      </c>
      <c r="E323" s="186"/>
      <c r="F323" s="146" t="str">
        <f t="shared" si="27"/>
        <v/>
      </c>
      <c r="G323" s="185"/>
      <c r="H323" s="185"/>
      <c r="I323" s="185"/>
      <c r="J323" s="201"/>
      <c r="K323" s="200"/>
      <c r="L323" s="200"/>
      <c r="M323" s="201"/>
      <c r="N323" s="201"/>
      <c r="P323" s="141" t="str">
        <f t="shared" si="28"/>
        <v/>
      </c>
      <c r="Q323" s="141" t="str">
        <f t="shared" si="29"/>
        <v/>
      </c>
      <c r="AA323" s="141" t="s">
        <v>1875</v>
      </c>
      <c r="AB323" s="141" t="s">
        <v>1876</v>
      </c>
    </row>
    <row r="324" spans="1:28">
      <c r="A324" s="151"/>
      <c r="B324" s="146" t="str">
        <f t="shared" ref="B324:B387" si="30">IFERROR(VLOOKUP(A324,$R$6:$S$23,2,FALSE),"")</f>
        <v/>
      </c>
      <c r="C324" s="151"/>
      <c r="D324" s="146" t="str">
        <f t="shared" ref="D324:D387" si="31">IFERROR(VLOOKUP(C324,$U$5:$W$129,2,FALSE),"")</f>
        <v/>
      </c>
      <c r="E324" s="186"/>
      <c r="F324" s="146" t="str">
        <f t="shared" ref="F324:F387" si="32">IFERROR(VLOOKUP(E324,$AA$5:$AB$500,2,FALSE),"")</f>
        <v/>
      </c>
      <c r="G324" s="185"/>
      <c r="H324" s="185"/>
      <c r="I324" s="185"/>
      <c r="J324" s="201"/>
      <c r="K324" s="200"/>
      <c r="L324" s="200"/>
      <c r="M324" s="201"/>
      <c r="N324" s="201"/>
      <c r="P324" s="141" t="str">
        <f t="shared" ref="P324:P387" si="33">LEFT(C324,3)</f>
        <v/>
      </c>
      <c r="Q324" s="141" t="str">
        <f t="shared" ref="Q324:Q387" si="34">LEFT(C324,2)</f>
        <v/>
      </c>
      <c r="AA324" s="141" t="s">
        <v>1877</v>
      </c>
      <c r="AB324" s="141" t="s">
        <v>1878</v>
      </c>
    </row>
    <row r="325" spans="1:28">
      <c r="A325" s="151"/>
      <c r="B325" s="146" t="str">
        <f t="shared" si="30"/>
        <v/>
      </c>
      <c r="C325" s="151"/>
      <c r="D325" s="146" t="str">
        <f t="shared" si="31"/>
        <v/>
      </c>
      <c r="E325" s="186"/>
      <c r="F325" s="146" t="str">
        <f t="shared" si="32"/>
        <v/>
      </c>
      <c r="G325" s="185"/>
      <c r="H325" s="185"/>
      <c r="I325" s="185"/>
      <c r="J325" s="201"/>
      <c r="K325" s="200"/>
      <c r="L325" s="200"/>
      <c r="M325" s="201"/>
      <c r="N325" s="201"/>
      <c r="P325" s="141" t="str">
        <f t="shared" si="33"/>
        <v/>
      </c>
      <c r="Q325" s="141" t="str">
        <f t="shared" si="34"/>
        <v/>
      </c>
      <c r="AA325" s="141" t="s">
        <v>1879</v>
      </c>
      <c r="AB325" s="141" t="s">
        <v>1880</v>
      </c>
    </row>
    <row r="326" spans="1:28">
      <c r="A326" s="151"/>
      <c r="B326" s="146" t="str">
        <f t="shared" si="30"/>
        <v/>
      </c>
      <c r="C326" s="151"/>
      <c r="D326" s="146" t="str">
        <f t="shared" si="31"/>
        <v/>
      </c>
      <c r="E326" s="186"/>
      <c r="F326" s="146" t="str">
        <f t="shared" si="32"/>
        <v/>
      </c>
      <c r="G326" s="185"/>
      <c r="H326" s="185"/>
      <c r="I326" s="185"/>
      <c r="J326" s="201"/>
      <c r="K326" s="200"/>
      <c r="L326" s="200"/>
      <c r="M326" s="201"/>
      <c r="N326" s="201"/>
      <c r="P326" s="141" t="str">
        <f t="shared" si="33"/>
        <v/>
      </c>
      <c r="Q326" s="141" t="str">
        <f t="shared" si="34"/>
        <v/>
      </c>
      <c r="AA326" s="141" t="s">
        <v>1881</v>
      </c>
      <c r="AB326" s="141" t="s">
        <v>1882</v>
      </c>
    </row>
    <row r="327" spans="1:28">
      <c r="A327" s="151"/>
      <c r="B327" s="146" t="str">
        <f t="shared" si="30"/>
        <v/>
      </c>
      <c r="C327" s="151"/>
      <c r="D327" s="146" t="str">
        <f t="shared" si="31"/>
        <v/>
      </c>
      <c r="E327" s="186"/>
      <c r="F327" s="146" t="str">
        <f t="shared" si="32"/>
        <v/>
      </c>
      <c r="G327" s="185"/>
      <c r="H327" s="185"/>
      <c r="I327" s="185"/>
      <c r="J327" s="201"/>
      <c r="K327" s="200"/>
      <c r="L327" s="200"/>
      <c r="M327" s="201"/>
      <c r="N327" s="201"/>
      <c r="P327" s="141" t="str">
        <f t="shared" si="33"/>
        <v/>
      </c>
      <c r="Q327" s="141" t="str">
        <f t="shared" si="34"/>
        <v/>
      </c>
      <c r="AA327" s="141" t="s">
        <v>1883</v>
      </c>
      <c r="AB327" s="141" t="s">
        <v>1884</v>
      </c>
    </row>
    <row r="328" spans="1:28">
      <c r="A328" s="151"/>
      <c r="B328" s="146" t="str">
        <f t="shared" si="30"/>
        <v/>
      </c>
      <c r="C328" s="151"/>
      <c r="D328" s="146" t="str">
        <f t="shared" si="31"/>
        <v/>
      </c>
      <c r="E328" s="186"/>
      <c r="F328" s="146" t="str">
        <f t="shared" si="32"/>
        <v/>
      </c>
      <c r="G328" s="185"/>
      <c r="H328" s="185"/>
      <c r="I328" s="185"/>
      <c r="J328" s="201"/>
      <c r="K328" s="200"/>
      <c r="L328" s="200"/>
      <c r="M328" s="201"/>
      <c r="N328" s="201"/>
      <c r="P328" s="141" t="str">
        <f t="shared" si="33"/>
        <v/>
      </c>
      <c r="Q328" s="141" t="str">
        <f t="shared" si="34"/>
        <v/>
      </c>
      <c r="AA328" s="141" t="s">
        <v>1885</v>
      </c>
      <c r="AB328" s="141" t="s">
        <v>1886</v>
      </c>
    </row>
    <row r="329" spans="1:28">
      <c r="A329" s="151"/>
      <c r="B329" s="146" t="str">
        <f t="shared" si="30"/>
        <v/>
      </c>
      <c r="C329" s="151"/>
      <c r="D329" s="146" t="str">
        <f t="shared" si="31"/>
        <v/>
      </c>
      <c r="E329" s="186"/>
      <c r="F329" s="146" t="str">
        <f t="shared" si="32"/>
        <v/>
      </c>
      <c r="G329" s="185"/>
      <c r="H329" s="185"/>
      <c r="I329" s="185"/>
      <c r="J329" s="201"/>
      <c r="K329" s="200"/>
      <c r="L329" s="200"/>
      <c r="M329" s="201"/>
      <c r="N329" s="201"/>
      <c r="P329" s="141" t="str">
        <f t="shared" si="33"/>
        <v/>
      </c>
      <c r="Q329" s="141" t="str">
        <f t="shared" si="34"/>
        <v/>
      </c>
      <c r="AA329" s="141" t="s">
        <v>1887</v>
      </c>
      <c r="AB329" s="141" t="s">
        <v>1888</v>
      </c>
    </row>
    <row r="330" spans="1:28">
      <c r="A330" s="151"/>
      <c r="B330" s="146" t="str">
        <f t="shared" si="30"/>
        <v/>
      </c>
      <c r="C330" s="151"/>
      <c r="D330" s="146" t="str">
        <f t="shared" si="31"/>
        <v/>
      </c>
      <c r="E330" s="186"/>
      <c r="F330" s="146" t="str">
        <f t="shared" si="32"/>
        <v/>
      </c>
      <c r="G330" s="185"/>
      <c r="H330" s="185"/>
      <c r="I330" s="185"/>
      <c r="J330" s="201"/>
      <c r="K330" s="200"/>
      <c r="L330" s="200"/>
      <c r="M330" s="201"/>
      <c r="N330" s="201"/>
      <c r="P330" s="141" t="str">
        <f t="shared" si="33"/>
        <v/>
      </c>
      <c r="Q330" s="141" t="str">
        <f t="shared" si="34"/>
        <v/>
      </c>
      <c r="AA330" s="141" t="s">
        <v>1889</v>
      </c>
      <c r="AB330" s="141" t="s">
        <v>1890</v>
      </c>
    </row>
    <row r="331" spans="1:28">
      <c r="A331" s="151"/>
      <c r="B331" s="146" t="str">
        <f t="shared" si="30"/>
        <v/>
      </c>
      <c r="C331" s="151"/>
      <c r="D331" s="146" t="str">
        <f t="shared" si="31"/>
        <v/>
      </c>
      <c r="E331" s="186"/>
      <c r="F331" s="146" t="str">
        <f t="shared" si="32"/>
        <v/>
      </c>
      <c r="G331" s="185"/>
      <c r="H331" s="185"/>
      <c r="I331" s="185"/>
      <c r="J331" s="201"/>
      <c r="K331" s="200"/>
      <c r="L331" s="200"/>
      <c r="M331" s="201"/>
      <c r="N331" s="201"/>
      <c r="P331" s="141" t="str">
        <f t="shared" si="33"/>
        <v/>
      </c>
      <c r="Q331" s="141" t="str">
        <f t="shared" si="34"/>
        <v/>
      </c>
      <c r="AA331" s="141" t="s">
        <v>1891</v>
      </c>
      <c r="AB331" s="141" t="s">
        <v>1892</v>
      </c>
    </row>
    <row r="332" spans="1:28">
      <c r="A332" s="151"/>
      <c r="B332" s="146" t="str">
        <f t="shared" si="30"/>
        <v/>
      </c>
      <c r="C332" s="151"/>
      <c r="D332" s="146" t="str">
        <f t="shared" si="31"/>
        <v/>
      </c>
      <c r="E332" s="186"/>
      <c r="F332" s="146" t="str">
        <f t="shared" si="32"/>
        <v/>
      </c>
      <c r="G332" s="185"/>
      <c r="H332" s="185"/>
      <c r="I332" s="185"/>
      <c r="J332" s="201"/>
      <c r="K332" s="200"/>
      <c r="L332" s="200"/>
      <c r="M332" s="201"/>
      <c r="N332" s="201"/>
      <c r="P332" s="141" t="str">
        <f t="shared" si="33"/>
        <v/>
      </c>
      <c r="Q332" s="141" t="str">
        <f t="shared" si="34"/>
        <v/>
      </c>
      <c r="AA332" s="141" t="s">
        <v>1893</v>
      </c>
      <c r="AB332" s="141" t="s">
        <v>1894</v>
      </c>
    </row>
    <row r="333" spans="1:28">
      <c r="A333" s="151"/>
      <c r="B333" s="146" t="str">
        <f t="shared" si="30"/>
        <v/>
      </c>
      <c r="C333" s="151"/>
      <c r="D333" s="146" t="str">
        <f t="shared" si="31"/>
        <v/>
      </c>
      <c r="E333" s="186"/>
      <c r="F333" s="146" t="str">
        <f t="shared" si="32"/>
        <v/>
      </c>
      <c r="G333" s="185"/>
      <c r="H333" s="185"/>
      <c r="I333" s="185"/>
      <c r="J333" s="201"/>
      <c r="K333" s="200"/>
      <c r="L333" s="200"/>
      <c r="M333" s="201"/>
      <c r="N333" s="201"/>
      <c r="P333" s="141" t="str">
        <f t="shared" si="33"/>
        <v/>
      </c>
      <c r="Q333" s="141" t="str">
        <f t="shared" si="34"/>
        <v/>
      </c>
      <c r="AA333" s="141" t="s">
        <v>1895</v>
      </c>
      <c r="AB333" s="141" t="s">
        <v>1896</v>
      </c>
    </row>
    <row r="334" spans="1:28">
      <c r="A334" s="151"/>
      <c r="B334" s="146" t="str">
        <f t="shared" si="30"/>
        <v/>
      </c>
      <c r="C334" s="151"/>
      <c r="D334" s="146" t="str">
        <f t="shared" si="31"/>
        <v/>
      </c>
      <c r="E334" s="186"/>
      <c r="F334" s="146" t="str">
        <f t="shared" si="32"/>
        <v/>
      </c>
      <c r="G334" s="185"/>
      <c r="H334" s="185"/>
      <c r="I334" s="185"/>
      <c r="J334" s="201"/>
      <c r="K334" s="200"/>
      <c r="L334" s="200"/>
      <c r="M334" s="201"/>
      <c r="N334" s="201"/>
      <c r="P334" s="141" t="str">
        <f t="shared" si="33"/>
        <v/>
      </c>
      <c r="Q334" s="141" t="str">
        <f t="shared" si="34"/>
        <v/>
      </c>
      <c r="AA334" s="141" t="s">
        <v>1897</v>
      </c>
      <c r="AB334" s="141" t="s">
        <v>1898</v>
      </c>
    </row>
    <row r="335" spans="1:28">
      <c r="A335" s="151"/>
      <c r="B335" s="146" t="str">
        <f t="shared" si="30"/>
        <v/>
      </c>
      <c r="C335" s="151"/>
      <c r="D335" s="146" t="str">
        <f t="shared" si="31"/>
        <v/>
      </c>
      <c r="E335" s="186"/>
      <c r="F335" s="146" t="str">
        <f t="shared" si="32"/>
        <v/>
      </c>
      <c r="G335" s="185"/>
      <c r="H335" s="185"/>
      <c r="I335" s="185"/>
      <c r="J335" s="201"/>
      <c r="K335" s="200"/>
      <c r="L335" s="200"/>
      <c r="M335" s="201"/>
      <c r="N335" s="201"/>
      <c r="P335" s="141" t="str">
        <f t="shared" si="33"/>
        <v/>
      </c>
      <c r="Q335" s="141" t="str">
        <f t="shared" si="34"/>
        <v/>
      </c>
      <c r="AA335" s="141" t="s">
        <v>1899</v>
      </c>
      <c r="AB335" s="141" t="s">
        <v>1900</v>
      </c>
    </row>
    <row r="336" spans="1:28">
      <c r="A336" s="151"/>
      <c r="B336" s="146" t="str">
        <f t="shared" si="30"/>
        <v/>
      </c>
      <c r="C336" s="151"/>
      <c r="D336" s="146" t="str">
        <f t="shared" si="31"/>
        <v/>
      </c>
      <c r="E336" s="186"/>
      <c r="F336" s="146" t="str">
        <f t="shared" si="32"/>
        <v/>
      </c>
      <c r="G336" s="185"/>
      <c r="H336" s="185"/>
      <c r="I336" s="185"/>
      <c r="J336" s="201"/>
      <c r="K336" s="200"/>
      <c r="L336" s="200"/>
      <c r="M336" s="201"/>
      <c r="N336" s="201"/>
      <c r="P336" s="141" t="str">
        <f t="shared" si="33"/>
        <v/>
      </c>
      <c r="Q336" s="141" t="str">
        <f t="shared" si="34"/>
        <v/>
      </c>
      <c r="AA336" s="141" t="s">
        <v>1901</v>
      </c>
      <c r="AB336" s="141" t="s">
        <v>1902</v>
      </c>
    </row>
    <row r="337" spans="1:28">
      <c r="A337" s="151"/>
      <c r="B337" s="146" t="str">
        <f t="shared" si="30"/>
        <v/>
      </c>
      <c r="C337" s="151"/>
      <c r="D337" s="146" t="str">
        <f t="shared" si="31"/>
        <v/>
      </c>
      <c r="E337" s="186"/>
      <c r="F337" s="146" t="str">
        <f t="shared" si="32"/>
        <v/>
      </c>
      <c r="G337" s="185"/>
      <c r="H337" s="185"/>
      <c r="I337" s="185"/>
      <c r="J337" s="201"/>
      <c r="K337" s="200"/>
      <c r="L337" s="200"/>
      <c r="M337" s="201"/>
      <c r="N337" s="201"/>
      <c r="P337" s="141" t="str">
        <f t="shared" si="33"/>
        <v/>
      </c>
      <c r="Q337" s="141" t="str">
        <f t="shared" si="34"/>
        <v/>
      </c>
      <c r="AA337" s="141" t="s">
        <v>1903</v>
      </c>
      <c r="AB337" s="141" t="s">
        <v>1904</v>
      </c>
    </row>
    <row r="338" spans="1:28">
      <c r="A338" s="151"/>
      <c r="B338" s="146" t="str">
        <f t="shared" si="30"/>
        <v/>
      </c>
      <c r="C338" s="151"/>
      <c r="D338" s="146" t="str">
        <f t="shared" si="31"/>
        <v/>
      </c>
      <c r="E338" s="186"/>
      <c r="F338" s="146" t="str">
        <f t="shared" si="32"/>
        <v/>
      </c>
      <c r="G338" s="185"/>
      <c r="H338" s="185"/>
      <c r="I338" s="185"/>
      <c r="J338" s="201"/>
      <c r="K338" s="200"/>
      <c r="L338" s="200"/>
      <c r="M338" s="201"/>
      <c r="N338" s="201"/>
      <c r="P338" s="141" t="str">
        <f t="shared" si="33"/>
        <v/>
      </c>
      <c r="Q338" s="141" t="str">
        <f t="shared" si="34"/>
        <v/>
      </c>
      <c r="AA338" s="141" t="s">
        <v>1905</v>
      </c>
    </row>
    <row r="339" spans="1:28">
      <c r="A339" s="151"/>
      <c r="B339" s="146" t="str">
        <f t="shared" si="30"/>
        <v/>
      </c>
      <c r="C339" s="151"/>
      <c r="D339" s="146" t="str">
        <f t="shared" si="31"/>
        <v/>
      </c>
      <c r="E339" s="186"/>
      <c r="F339" s="146" t="str">
        <f t="shared" si="32"/>
        <v/>
      </c>
      <c r="G339" s="185"/>
      <c r="H339" s="185"/>
      <c r="I339" s="185"/>
      <c r="J339" s="201"/>
      <c r="K339" s="200"/>
      <c r="L339" s="200"/>
      <c r="M339" s="201"/>
      <c r="N339" s="201"/>
      <c r="P339" s="141" t="str">
        <f t="shared" si="33"/>
        <v/>
      </c>
      <c r="Q339" s="141" t="str">
        <f t="shared" si="34"/>
        <v/>
      </c>
      <c r="AA339" s="141" t="s">
        <v>1906</v>
      </c>
      <c r="AB339" s="141" t="s">
        <v>1907</v>
      </c>
    </row>
    <row r="340" spans="1:28">
      <c r="A340" s="151"/>
      <c r="B340" s="146" t="str">
        <f t="shared" si="30"/>
        <v/>
      </c>
      <c r="C340" s="151"/>
      <c r="D340" s="146" t="str">
        <f t="shared" si="31"/>
        <v/>
      </c>
      <c r="E340" s="186"/>
      <c r="F340" s="146" t="str">
        <f t="shared" si="32"/>
        <v/>
      </c>
      <c r="G340" s="185"/>
      <c r="H340" s="185"/>
      <c r="I340" s="185"/>
      <c r="J340" s="201"/>
      <c r="K340" s="200"/>
      <c r="L340" s="200"/>
      <c r="M340" s="201"/>
      <c r="N340" s="201"/>
      <c r="P340" s="141" t="str">
        <f t="shared" si="33"/>
        <v/>
      </c>
      <c r="Q340" s="141" t="str">
        <f t="shared" si="34"/>
        <v/>
      </c>
      <c r="AA340" s="141" t="s">
        <v>1908</v>
      </c>
      <c r="AB340" s="141" t="s">
        <v>1909</v>
      </c>
    </row>
    <row r="341" spans="1:28">
      <c r="A341" s="151"/>
      <c r="B341" s="146" t="str">
        <f t="shared" si="30"/>
        <v/>
      </c>
      <c r="C341" s="151"/>
      <c r="D341" s="146" t="str">
        <f t="shared" si="31"/>
        <v/>
      </c>
      <c r="E341" s="186"/>
      <c r="F341" s="146" t="str">
        <f t="shared" si="32"/>
        <v/>
      </c>
      <c r="G341" s="185"/>
      <c r="H341" s="185"/>
      <c r="I341" s="185"/>
      <c r="J341" s="201"/>
      <c r="K341" s="200"/>
      <c r="L341" s="200"/>
      <c r="M341" s="201"/>
      <c r="N341" s="201"/>
      <c r="P341" s="141" t="str">
        <f t="shared" si="33"/>
        <v/>
      </c>
      <c r="Q341" s="141" t="str">
        <f t="shared" si="34"/>
        <v/>
      </c>
      <c r="AA341" s="141" t="s">
        <v>1910</v>
      </c>
      <c r="AB341" s="141" t="s">
        <v>1911</v>
      </c>
    </row>
    <row r="342" spans="1:28">
      <c r="A342" s="151"/>
      <c r="B342" s="146" t="str">
        <f t="shared" si="30"/>
        <v/>
      </c>
      <c r="C342" s="151"/>
      <c r="D342" s="146" t="str">
        <f t="shared" si="31"/>
        <v/>
      </c>
      <c r="E342" s="186"/>
      <c r="F342" s="146" t="str">
        <f t="shared" si="32"/>
        <v/>
      </c>
      <c r="G342" s="185"/>
      <c r="H342" s="185"/>
      <c r="I342" s="185"/>
      <c r="J342" s="201"/>
      <c r="K342" s="200"/>
      <c r="L342" s="200"/>
      <c r="M342" s="201"/>
      <c r="N342" s="201"/>
      <c r="P342" s="141" t="str">
        <f t="shared" si="33"/>
        <v/>
      </c>
      <c r="Q342" s="141" t="str">
        <f t="shared" si="34"/>
        <v/>
      </c>
      <c r="AA342" s="141" t="s">
        <v>1912</v>
      </c>
      <c r="AB342" s="141" t="s">
        <v>1913</v>
      </c>
    </row>
    <row r="343" spans="1:28">
      <c r="A343" s="151"/>
      <c r="B343" s="146" t="str">
        <f t="shared" si="30"/>
        <v/>
      </c>
      <c r="C343" s="151"/>
      <c r="D343" s="146" t="str">
        <f t="shared" si="31"/>
        <v/>
      </c>
      <c r="E343" s="186"/>
      <c r="F343" s="146" t="str">
        <f t="shared" si="32"/>
        <v/>
      </c>
      <c r="G343" s="185"/>
      <c r="H343" s="185"/>
      <c r="I343" s="185"/>
      <c r="J343" s="201"/>
      <c r="K343" s="200"/>
      <c r="L343" s="200"/>
      <c r="M343" s="201"/>
      <c r="N343" s="201"/>
      <c r="P343" s="141" t="str">
        <f t="shared" si="33"/>
        <v/>
      </c>
      <c r="Q343" s="141" t="str">
        <f t="shared" si="34"/>
        <v/>
      </c>
      <c r="AA343" s="141" t="s">
        <v>1914</v>
      </c>
      <c r="AB343" s="141" t="s">
        <v>1915</v>
      </c>
    </row>
    <row r="344" spans="1:28">
      <c r="A344" s="151"/>
      <c r="B344" s="146" t="str">
        <f t="shared" si="30"/>
        <v/>
      </c>
      <c r="C344" s="151"/>
      <c r="D344" s="146" t="str">
        <f t="shared" si="31"/>
        <v/>
      </c>
      <c r="E344" s="186"/>
      <c r="F344" s="146" t="str">
        <f t="shared" si="32"/>
        <v/>
      </c>
      <c r="G344" s="185"/>
      <c r="H344" s="185"/>
      <c r="I344" s="185"/>
      <c r="J344" s="201"/>
      <c r="K344" s="200"/>
      <c r="L344" s="200"/>
      <c r="M344" s="201"/>
      <c r="N344" s="201"/>
      <c r="P344" s="141" t="str">
        <f t="shared" si="33"/>
        <v/>
      </c>
      <c r="Q344" s="141" t="str">
        <f t="shared" si="34"/>
        <v/>
      </c>
      <c r="AA344" s="141" t="s">
        <v>1916</v>
      </c>
      <c r="AB344" s="141" t="s">
        <v>1917</v>
      </c>
    </row>
    <row r="345" spans="1:28">
      <c r="A345" s="151"/>
      <c r="B345" s="146" t="str">
        <f t="shared" si="30"/>
        <v/>
      </c>
      <c r="C345" s="151"/>
      <c r="D345" s="146" t="str">
        <f t="shared" si="31"/>
        <v/>
      </c>
      <c r="E345" s="186"/>
      <c r="F345" s="146" t="str">
        <f t="shared" si="32"/>
        <v/>
      </c>
      <c r="G345" s="185"/>
      <c r="H345" s="185"/>
      <c r="I345" s="185"/>
      <c r="J345" s="201"/>
      <c r="K345" s="200"/>
      <c r="L345" s="200"/>
      <c r="M345" s="201"/>
      <c r="N345" s="201"/>
      <c r="P345" s="141" t="str">
        <f t="shared" si="33"/>
        <v/>
      </c>
      <c r="Q345" s="141" t="str">
        <f t="shared" si="34"/>
        <v/>
      </c>
      <c r="AA345" s="141" t="s">
        <v>1918</v>
      </c>
      <c r="AB345" s="141" t="s">
        <v>1919</v>
      </c>
    </row>
    <row r="346" spans="1:28">
      <c r="A346" s="151"/>
      <c r="B346" s="146" t="str">
        <f t="shared" si="30"/>
        <v/>
      </c>
      <c r="C346" s="151"/>
      <c r="D346" s="146" t="str">
        <f t="shared" si="31"/>
        <v/>
      </c>
      <c r="E346" s="186"/>
      <c r="F346" s="146" t="str">
        <f t="shared" si="32"/>
        <v/>
      </c>
      <c r="G346" s="185"/>
      <c r="H346" s="185"/>
      <c r="I346" s="185"/>
      <c r="J346" s="201"/>
      <c r="K346" s="200"/>
      <c r="L346" s="200"/>
      <c r="M346" s="201"/>
      <c r="N346" s="201"/>
      <c r="P346" s="141" t="str">
        <f t="shared" si="33"/>
        <v/>
      </c>
      <c r="Q346" s="141" t="str">
        <f t="shared" si="34"/>
        <v/>
      </c>
      <c r="AA346" s="141" t="s">
        <v>1920</v>
      </c>
      <c r="AB346" s="141" t="s">
        <v>1921</v>
      </c>
    </row>
    <row r="347" spans="1:28">
      <c r="A347" s="151"/>
      <c r="B347" s="146" t="str">
        <f t="shared" si="30"/>
        <v/>
      </c>
      <c r="C347" s="151"/>
      <c r="D347" s="146" t="str">
        <f t="shared" si="31"/>
        <v/>
      </c>
      <c r="E347" s="186"/>
      <c r="F347" s="146" t="str">
        <f t="shared" si="32"/>
        <v/>
      </c>
      <c r="G347" s="185"/>
      <c r="H347" s="185"/>
      <c r="I347" s="185"/>
      <c r="J347" s="201"/>
      <c r="K347" s="200"/>
      <c r="L347" s="200"/>
      <c r="M347" s="201"/>
      <c r="N347" s="201"/>
      <c r="P347" s="141" t="str">
        <f t="shared" si="33"/>
        <v/>
      </c>
      <c r="Q347" s="141" t="str">
        <f t="shared" si="34"/>
        <v/>
      </c>
      <c r="AA347" s="141" t="s">
        <v>1922</v>
      </c>
      <c r="AB347" s="141" t="s">
        <v>1923</v>
      </c>
    </row>
    <row r="348" spans="1:28">
      <c r="A348" s="151"/>
      <c r="B348" s="146" t="str">
        <f t="shared" si="30"/>
        <v/>
      </c>
      <c r="C348" s="151"/>
      <c r="D348" s="146" t="str">
        <f t="shared" si="31"/>
        <v/>
      </c>
      <c r="E348" s="186"/>
      <c r="F348" s="146" t="str">
        <f t="shared" si="32"/>
        <v/>
      </c>
      <c r="G348" s="185"/>
      <c r="H348" s="185"/>
      <c r="I348" s="185"/>
      <c r="J348" s="201"/>
      <c r="K348" s="200"/>
      <c r="L348" s="200"/>
      <c r="M348" s="201"/>
      <c r="N348" s="201"/>
      <c r="P348" s="141" t="str">
        <f t="shared" si="33"/>
        <v/>
      </c>
      <c r="Q348" s="141" t="str">
        <f t="shared" si="34"/>
        <v/>
      </c>
      <c r="AA348" s="141" t="s">
        <v>1924</v>
      </c>
      <c r="AB348" s="141" t="s">
        <v>1925</v>
      </c>
    </row>
    <row r="349" spans="1:28">
      <c r="A349" s="151"/>
      <c r="B349" s="146" t="str">
        <f t="shared" si="30"/>
        <v/>
      </c>
      <c r="C349" s="151"/>
      <c r="D349" s="146" t="str">
        <f t="shared" si="31"/>
        <v/>
      </c>
      <c r="E349" s="186"/>
      <c r="F349" s="146" t="str">
        <f t="shared" si="32"/>
        <v/>
      </c>
      <c r="G349" s="185"/>
      <c r="H349" s="185"/>
      <c r="I349" s="185"/>
      <c r="J349" s="201"/>
      <c r="K349" s="200"/>
      <c r="L349" s="200"/>
      <c r="M349" s="201"/>
      <c r="N349" s="201"/>
      <c r="P349" s="141" t="str">
        <f t="shared" si="33"/>
        <v/>
      </c>
      <c r="Q349" s="141" t="str">
        <f t="shared" si="34"/>
        <v/>
      </c>
      <c r="AA349" s="141" t="s">
        <v>1926</v>
      </c>
      <c r="AB349" s="141" t="s">
        <v>1927</v>
      </c>
    </row>
    <row r="350" spans="1:28">
      <c r="A350" s="151"/>
      <c r="B350" s="146" t="str">
        <f t="shared" si="30"/>
        <v/>
      </c>
      <c r="C350" s="151"/>
      <c r="D350" s="146" t="str">
        <f t="shared" si="31"/>
        <v/>
      </c>
      <c r="E350" s="186"/>
      <c r="F350" s="146" t="str">
        <f t="shared" si="32"/>
        <v/>
      </c>
      <c r="G350" s="185"/>
      <c r="H350" s="185"/>
      <c r="I350" s="185"/>
      <c r="J350" s="201"/>
      <c r="K350" s="200"/>
      <c r="L350" s="200"/>
      <c r="M350" s="201"/>
      <c r="N350" s="201"/>
      <c r="P350" s="141" t="str">
        <f t="shared" si="33"/>
        <v/>
      </c>
      <c r="Q350" s="141" t="str">
        <f t="shared" si="34"/>
        <v/>
      </c>
      <c r="AA350" s="141" t="s">
        <v>1928</v>
      </c>
      <c r="AB350" s="141" t="s">
        <v>1929</v>
      </c>
    </row>
    <row r="351" spans="1:28">
      <c r="A351" s="151"/>
      <c r="B351" s="146" t="str">
        <f t="shared" si="30"/>
        <v/>
      </c>
      <c r="C351" s="151"/>
      <c r="D351" s="146" t="str">
        <f t="shared" si="31"/>
        <v/>
      </c>
      <c r="E351" s="186"/>
      <c r="F351" s="146" t="str">
        <f t="shared" si="32"/>
        <v/>
      </c>
      <c r="G351" s="185"/>
      <c r="H351" s="185"/>
      <c r="I351" s="185"/>
      <c r="J351" s="201"/>
      <c r="K351" s="200"/>
      <c r="L351" s="200"/>
      <c r="M351" s="201"/>
      <c r="N351" s="201"/>
      <c r="P351" s="141" t="str">
        <f t="shared" si="33"/>
        <v/>
      </c>
      <c r="Q351" s="141" t="str">
        <f t="shared" si="34"/>
        <v/>
      </c>
      <c r="AA351" s="141" t="s">
        <v>1930</v>
      </c>
      <c r="AB351" s="141" t="s">
        <v>1931</v>
      </c>
    </row>
    <row r="352" spans="1:28">
      <c r="A352" s="151"/>
      <c r="B352" s="146" t="str">
        <f t="shared" si="30"/>
        <v/>
      </c>
      <c r="C352" s="151"/>
      <c r="D352" s="146" t="str">
        <f t="shared" si="31"/>
        <v/>
      </c>
      <c r="E352" s="186"/>
      <c r="F352" s="146" t="str">
        <f t="shared" si="32"/>
        <v/>
      </c>
      <c r="G352" s="185"/>
      <c r="H352" s="185"/>
      <c r="I352" s="185"/>
      <c r="J352" s="201"/>
      <c r="K352" s="200"/>
      <c r="L352" s="200"/>
      <c r="M352" s="201"/>
      <c r="N352" s="201"/>
      <c r="P352" s="141" t="str">
        <f t="shared" si="33"/>
        <v/>
      </c>
      <c r="Q352" s="141" t="str">
        <f t="shared" si="34"/>
        <v/>
      </c>
      <c r="AA352" s="141" t="s">
        <v>1932</v>
      </c>
      <c r="AB352" s="141" t="s">
        <v>1933</v>
      </c>
    </row>
    <row r="353" spans="1:28">
      <c r="A353" s="151"/>
      <c r="B353" s="146" t="str">
        <f t="shared" si="30"/>
        <v/>
      </c>
      <c r="C353" s="151"/>
      <c r="D353" s="146" t="str">
        <f t="shared" si="31"/>
        <v/>
      </c>
      <c r="E353" s="186"/>
      <c r="F353" s="146" t="str">
        <f t="shared" si="32"/>
        <v/>
      </c>
      <c r="G353" s="185"/>
      <c r="H353" s="185"/>
      <c r="I353" s="185"/>
      <c r="J353" s="201"/>
      <c r="K353" s="200"/>
      <c r="L353" s="200"/>
      <c r="M353" s="201"/>
      <c r="N353" s="201"/>
      <c r="P353" s="141" t="str">
        <f t="shared" si="33"/>
        <v/>
      </c>
      <c r="Q353" s="141" t="str">
        <f t="shared" si="34"/>
        <v/>
      </c>
      <c r="AA353" s="141" t="s">
        <v>1934</v>
      </c>
      <c r="AB353" s="141" t="s">
        <v>1935</v>
      </c>
    </row>
    <row r="354" spans="1:28">
      <c r="A354" s="151"/>
      <c r="B354" s="146" t="str">
        <f t="shared" si="30"/>
        <v/>
      </c>
      <c r="C354" s="151"/>
      <c r="D354" s="146" t="str">
        <f t="shared" si="31"/>
        <v/>
      </c>
      <c r="E354" s="186"/>
      <c r="F354" s="146" t="str">
        <f t="shared" si="32"/>
        <v/>
      </c>
      <c r="G354" s="185"/>
      <c r="H354" s="185"/>
      <c r="I354" s="185"/>
      <c r="J354" s="201"/>
      <c r="K354" s="200"/>
      <c r="L354" s="200"/>
      <c r="M354" s="201"/>
      <c r="N354" s="201"/>
      <c r="P354" s="141" t="str">
        <f t="shared" si="33"/>
        <v/>
      </c>
      <c r="Q354" s="141" t="str">
        <f t="shared" si="34"/>
        <v/>
      </c>
      <c r="AA354" s="141" t="s">
        <v>1936</v>
      </c>
      <c r="AB354" s="141" t="s">
        <v>1937</v>
      </c>
    </row>
    <row r="355" spans="1:28">
      <c r="A355" s="151"/>
      <c r="B355" s="146" t="str">
        <f t="shared" si="30"/>
        <v/>
      </c>
      <c r="C355" s="151"/>
      <c r="D355" s="146" t="str">
        <f t="shared" si="31"/>
        <v/>
      </c>
      <c r="E355" s="186"/>
      <c r="F355" s="146" t="str">
        <f t="shared" si="32"/>
        <v/>
      </c>
      <c r="G355" s="185"/>
      <c r="H355" s="185"/>
      <c r="I355" s="185"/>
      <c r="J355" s="201"/>
      <c r="K355" s="200"/>
      <c r="L355" s="200"/>
      <c r="M355" s="201"/>
      <c r="N355" s="201"/>
      <c r="P355" s="141" t="str">
        <f t="shared" si="33"/>
        <v/>
      </c>
      <c r="Q355" s="141" t="str">
        <f t="shared" si="34"/>
        <v/>
      </c>
      <c r="AA355" s="141" t="s">
        <v>1938</v>
      </c>
      <c r="AB355" s="141" t="s">
        <v>1939</v>
      </c>
    </row>
    <row r="356" spans="1:28">
      <c r="A356" s="151"/>
      <c r="B356" s="146" t="str">
        <f t="shared" si="30"/>
        <v/>
      </c>
      <c r="C356" s="151"/>
      <c r="D356" s="146" t="str">
        <f t="shared" si="31"/>
        <v/>
      </c>
      <c r="E356" s="186"/>
      <c r="F356" s="146" t="str">
        <f t="shared" si="32"/>
        <v/>
      </c>
      <c r="G356" s="185"/>
      <c r="H356" s="185"/>
      <c r="I356" s="185"/>
      <c r="J356" s="201"/>
      <c r="K356" s="200"/>
      <c r="L356" s="200"/>
      <c r="M356" s="201"/>
      <c r="N356" s="201"/>
      <c r="P356" s="141" t="str">
        <f t="shared" si="33"/>
        <v/>
      </c>
      <c r="Q356" s="141" t="str">
        <f t="shared" si="34"/>
        <v/>
      </c>
      <c r="AA356" s="141" t="s">
        <v>1940</v>
      </c>
      <c r="AB356" s="141" t="s">
        <v>1941</v>
      </c>
    </row>
    <row r="357" spans="1:28">
      <c r="A357" s="151"/>
      <c r="B357" s="146" t="str">
        <f t="shared" si="30"/>
        <v/>
      </c>
      <c r="C357" s="151"/>
      <c r="D357" s="146" t="str">
        <f t="shared" si="31"/>
        <v/>
      </c>
      <c r="E357" s="186"/>
      <c r="F357" s="146" t="str">
        <f t="shared" si="32"/>
        <v/>
      </c>
      <c r="G357" s="185"/>
      <c r="H357" s="185"/>
      <c r="I357" s="185"/>
      <c r="J357" s="201"/>
      <c r="K357" s="200"/>
      <c r="L357" s="200"/>
      <c r="M357" s="201"/>
      <c r="N357" s="201"/>
      <c r="P357" s="141" t="str">
        <f t="shared" si="33"/>
        <v/>
      </c>
      <c r="Q357" s="141" t="str">
        <f t="shared" si="34"/>
        <v/>
      </c>
      <c r="AA357" s="141" t="s">
        <v>1942</v>
      </c>
      <c r="AB357" s="141" t="s">
        <v>1943</v>
      </c>
    </row>
    <row r="358" spans="1:28">
      <c r="A358" s="151"/>
      <c r="B358" s="146" t="str">
        <f t="shared" si="30"/>
        <v/>
      </c>
      <c r="C358" s="151"/>
      <c r="D358" s="146" t="str">
        <f t="shared" si="31"/>
        <v/>
      </c>
      <c r="E358" s="186"/>
      <c r="F358" s="146" t="str">
        <f t="shared" si="32"/>
        <v/>
      </c>
      <c r="G358" s="185"/>
      <c r="H358" s="185"/>
      <c r="I358" s="185"/>
      <c r="J358" s="201"/>
      <c r="K358" s="200"/>
      <c r="L358" s="200"/>
      <c r="M358" s="201"/>
      <c r="N358" s="201"/>
      <c r="P358" s="141" t="str">
        <f t="shared" si="33"/>
        <v/>
      </c>
      <c r="Q358" s="141" t="str">
        <f t="shared" si="34"/>
        <v/>
      </c>
      <c r="AA358" s="141" t="s">
        <v>1944</v>
      </c>
      <c r="AB358" s="141" t="s">
        <v>1945</v>
      </c>
    </row>
    <row r="359" spans="1:28">
      <c r="A359" s="151"/>
      <c r="B359" s="146" t="str">
        <f t="shared" si="30"/>
        <v/>
      </c>
      <c r="C359" s="151"/>
      <c r="D359" s="146" t="str">
        <f t="shared" si="31"/>
        <v/>
      </c>
      <c r="E359" s="186"/>
      <c r="F359" s="146" t="str">
        <f t="shared" si="32"/>
        <v/>
      </c>
      <c r="G359" s="185"/>
      <c r="H359" s="185"/>
      <c r="I359" s="185"/>
      <c r="J359" s="201"/>
      <c r="K359" s="200"/>
      <c r="L359" s="200"/>
      <c r="M359" s="201"/>
      <c r="N359" s="201"/>
      <c r="P359" s="141" t="str">
        <f t="shared" si="33"/>
        <v/>
      </c>
      <c r="Q359" s="141" t="str">
        <f t="shared" si="34"/>
        <v/>
      </c>
      <c r="AA359" s="141" t="s">
        <v>1946</v>
      </c>
      <c r="AB359" s="141" t="s">
        <v>1947</v>
      </c>
    </row>
    <row r="360" spans="1:28">
      <c r="A360" s="151"/>
      <c r="B360" s="146" t="str">
        <f t="shared" si="30"/>
        <v/>
      </c>
      <c r="C360" s="151"/>
      <c r="D360" s="146" t="str">
        <f t="shared" si="31"/>
        <v/>
      </c>
      <c r="E360" s="186"/>
      <c r="F360" s="146" t="str">
        <f t="shared" si="32"/>
        <v/>
      </c>
      <c r="G360" s="185"/>
      <c r="H360" s="185"/>
      <c r="I360" s="185"/>
      <c r="J360" s="201"/>
      <c r="K360" s="200"/>
      <c r="L360" s="200"/>
      <c r="M360" s="201"/>
      <c r="N360" s="201"/>
      <c r="P360" s="141" t="str">
        <f t="shared" si="33"/>
        <v/>
      </c>
      <c r="Q360" s="141" t="str">
        <f t="shared" si="34"/>
        <v/>
      </c>
      <c r="AA360" s="141" t="s">
        <v>1948</v>
      </c>
      <c r="AB360" s="141" t="s">
        <v>1949</v>
      </c>
    </row>
    <row r="361" spans="1:28">
      <c r="A361" s="151"/>
      <c r="B361" s="146" t="str">
        <f t="shared" si="30"/>
        <v/>
      </c>
      <c r="C361" s="151"/>
      <c r="D361" s="146" t="str">
        <f t="shared" si="31"/>
        <v/>
      </c>
      <c r="E361" s="186"/>
      <c r="F361" s="146" t="str">
        <f t="shared" si="32"/>
        <v/>
      </c>
      <c r="G361" s="185"/>
      <c r="H361" s="185"/>
      <c r="I361" s="185"/>
      <c r="J361" s="201"/>
      <c r="K361" s="200"/>
      <c r="L361" s="200"/>
      <c r="M361" s="201"/>
      <c r="N361" s="201"/>
      <c r="P361" s="141" t="str">
        <f t="shared" si="33"/>
        <v/>
      </c>
      <c r="Q361" s="141" t="str">
        <f t="shared" si="34"/>
        <v/>
      </c>
      <c r="AA361" s="141" t="s">
        <v>1950</v>
      </c>
      <c r="AB361" s="141" t="s">
        <v>1951</v>
      </c>
    </row>
    <row r="362" spans="1:28">
      <c r="A362" s="151"/>
      <c r="B362" s="146" t="str">
        <f t="shared" si="30"/>
        <v/>
      </c>
      <c r="C362" s="151"/>
      <c r="D362" s="146" t="str">
        <f t="shared" si="31"/>
        <v/>
      </c>
      <c r="E362" s="186"/>
      <c r="F362" s="146" t="str">
        <f t="shared" si="32"/>
        <v/>
      </c>
      <c r="G362" s="185"/>
      <c r="H362" s="185"/>
      <c r="I362" s="185"/>
      <c r="J362" s="201"/>
      <c r="K362" s="200"/>
      <c r="L362" s="200"/>
      <c r="M362" s="201"/>
      <c r="N362" s="201"/>
      <c r="P362" s="141" t="str">
        <f t="shared" si="33"/>
        <v/>
      </c>
      <c r="Q362" s="141" t="str">
        <f t="shared" si="34"/>
        <v/>
      </c>
      <c r="AA362" s="141" t="s">
        <v>1952</v>
      </c>
      <c r="AB362" s="141" t="s">
        <v>1953</v>
      </c>
    </row>
    <row r="363" spans="1:28">
      <c r="A363" s="151"/>
      <c r="B363" s="146" t="str">
        <f t="shared" si="30"/>
        <v/>
      </c>
      <c r="C363" s="151"/>
      <c r="D363" s="146" t="str">
        <f t="shared" si="31"/>
        <v/>
      </c>
      <c r="E363" s="186"/>
      <c r="F363" s="146" t="str">
        <f t="shared" si="32"/>
        <v/>
      </c>
      <c r="G363" s="185"/>
      <c r="H363" s="185"/>
      <c r="I363" s="185"/>
      <c r="J363" s="201"/>
      <c r="K363" s="200"/>
      <c r="L363" s="200"/>
      <c r="M363" s="201"/>
      <c r="N363" s="201"/>
      <c r="P363" s="141" t="str">
        <f t="shared" si="33"/>
        <v/>
      </c>
      <c r="Q363" s="141" t="str">
        <f t="shared" si="34"/>
        <v/>
      </c>
      <c r="AA363" s="141" t="s">
        <v>1954</v>
      </c>
      <c r="AB363" s="141" t="s">
        <v>1955</v>
      </c>
    </row>
    <row r="364" spans="1:28">
      <c r="A364" s="151"/>
      <c r="B364" s="146" t="str">
        <f t="shared" si="30"/>
        <v/>
      </c>
      <c r="C364" s="151"/>
      <c r="D364" s="146" t="str">
        <f t="shared" si="31"/>
        <v/>
      </c>
      <c r="E364" s="186"/>
      <c r="F364" s="146" t="str">
        <f t="shared" si="32"/>
        <v/>
      </c>
      <c r="G364" s="185"/>
      <c r="H364" s="185"/>
      <c r="I364" s="185"/>
      <c r="J364" s="201"/>
      <c r="K364" s="200"/>
      <c r="L364" s="200"/>
      <c r="M364" s="201"/>
      <c r="N364" s="201"/>
      <c r="P364" s="141" t="str">
        <f t="shared" si="33"/>
        <v/>
      </c>
      <c r="Q364" s="141" t="str">
        <f t="shared" si="34"/>
        <v/>
      </c>
      <c r="AA364" s="141" t="s">
        <v>1956</v>
      </c>
      <c r="AB364" s="141" t="s">
        <v>1957</v>
      </c>
    </row>
    <row r="365" spans="1:28">
      <c r="A365" s="151"/>
      <c r="B365" s="146" t="str">
        <f t="shared" si="30"/>
        <v/>
      </c>
      <c r="C365" s="151"/>
      <c r="D365" s="146" t="str">
        <f t="shared" si="31"/>
        <v/>
      </c>
      <c r="E365" s="186"/>
      <c r="F365" s="146" t="str">
        <f t="shared" si="32"/>
        <v/>
      </c>
      <c r="G365" s="185"/>
      <c r="H365" s="185"/>
      <c r="I365" s="185"/>
      <c r="J365" s="201"/>
      <c r="K365" s="200"/>
      <c r="L365" s="200"/>
      <c r="M365" s="201"/>
      <c r="N365" s="201"/>
      <c r="P365" s="141" t="str">
        <f t="shared" si="33"/>
        <v/>
      </c>
      <c r="Q365" s="141" t="str">
        <f t="shared" si="34"/>
        <v/>
      </c>
      <c r="AA365" s="141" t="s">
        <v>1958</v>
      </c>
      <c r="AB365" s="141" t="s">
        <v>1959</v>
      </c>
    </row>
    <row r="366" spans="1:28">
      <c r="A366" s="151"/>
      <c r="B366" s="146" t="str">
        <f t="shared" si="30"/>
        <v/>
      </c>
      <c r="C366" s="151"/>
      <c r="D366" s="146" t="str">
        <f t="shared" si="31"/>
        <v/>
      </c>
      <c r="E366" s="186"/>
      <c r="F366" s="146" t="str">
        <f t="shared" si="32"/>
        <v/>
      </c>
      <c r="G366" s="185"/>
      <c r="H366" s="185"/>
      <c r="I366" s="185"/>
      <c r="J366" s="201"/>
      <c r="K366" s="200"/>
      <c r="L366" s="200"/>
      <c r="M366" s="201"/>
      <c r="N366" s="201"/>
      <c r="P366" s="141" t="str">
        <f t="shared" si="33"/>
        <v/>
      </c>
      <c r="Q366" s="141" t="str">
        <f t="shared" si="34"/>
        <v/>
      </c>
      <c r="AA366" s="141" t="s">
        <v>1960</v>
      </c>
      <c r="AB366" s="141" t="s">
        <v>1961</v>
      </c>
    </row>
    <row r="367" spans="1:28">
      <c r="A367" s="151"/>
      <c r="B367" s="146" t="str">
        <f t="shared" si="30"/>
        <v/>
      </c>
      <c r="C367" s="151"/>
      <c r="D367" s="146" t="str">
        <f t="shared" si="31"/>
        <v/>
      </c>
      <c r="E367" s="186"/>
      <c r="F367" s="146" t="str">
        <f t="shared" si="32"/>
        <v/>
      </c>
      <c r="G367" s="185"/>
      <c r="H367" s="185"/>
      <c r="I367" s="185"/>
      <c r="J367" s="201"/>
      <c r="K367" s="200"/>
      <c r="L367" s="200"/>
      <c r="M367" s="201"/>
      <c r="N367" s="201"/>
      <c r="P367" s="141" t="str">
        <f t="shared" si="33"/>
        <v/>
      </c>
      <c r="Q367" s="141" t="str">
        <f t="shared" si="34"/>
        <v/>
      </c>
      <c r="AA367" s="141" t="s">
        <v>1962</v>
      </c>
      <c r="AB367" s="141" t="s">
        <v>1963</v>
      </c>
    </row>
    <row r="368" spans="1:28">
      <c r="A368" s="151"/>
      <c r="B368" s="146" t="str">
        <f t="shared" si="30"/>
        <v/>
      </c>
      <c r="C368" s="151"/>
      <c r="D368" s="146" t="str">
        <f t="shared" si="31"/>
        <v/>
      </c>
      <c r="E368" s="186"/>
      <c r="F368" s="146" t="str">
        <f t="shared" si="32"/>
        <v/>
      </c>
      <c r="G368" s="185"/>
      <c r="H368" s="185"/>
      <c r="I368" s="185"/>
      <c r="J368" s="201"/>
      <c r="K368" s="200"/>
      <c r="L368" s="200"/>
      <c r="M368" s="201"/>
      <c r="N368" s="201"/>
      <c r="P368" s="141" t="str">
        <f t="shared" si="33"/>
        <v/>
      </c>
      <c r="Q368" s="141" t="str">
        <f t="shared" si="34"/>
        <v/>
      </c>
      <c r="AA368" s="141" t="s">
        <v>1964</v>
      </c>
      <c r="AB368" s="141" t="s">
        <v>1965</v>
      </c>
    </row>
    <row r="369" spans="1:28">
      <c r="A369" s="151"/>
      <c r="B369" s="146" t="str">
        <f t="shared" si="30"/>
        <v/>
      </c>
      <c r="C369" s="151"/>
      <c r="D369" s="146" t="str">
        <f t="shared" si="31"/>
        <v/>
      </c>
      <c r="E369" s="186"/>
      <c r="F369" s="146" t="str">
        <f t="shared" si="32"/>
        <v/>
      </c>
      <c r="G369" s="185"/>
      <c r="H369" s="185"/>
      <c r="I369" s="185"/>
      <c r="J369" s="201"/>
      <c r="K369" s="200"/>
      <c r="L369" s="200"/>
      <c r="M369" s="201"/>
      <c r="N369" s="201"/>
      <c r="P369" s="141" t="str">
        <f t="shared" si="33"/>
        <v/>
      </c>
      <c r="Q369" s="141" t="str">
        <f t="shared" si="34"/>
        <v/>
      </c>
      <c r="AA369" s="141" t="s">
        <v>1100</v>
      </c>
      <c r="AB369" s="141" t="s">
        <v>1101</v>
      </c>
    </row>
    <row r="370" spans="1:28">
      <c r="A370" s="151"/>
      <c r="B370" s="146" t="str">
        <f t="shared" si="30"/>
        <v/>
      </c>
      <c r="C370" s="151"/>
      <c r="D370" s="146" t="str">
        <f t="shared" si="31"/>
        <v/>
      </c>
      <c r="E370" s="186"/>
      <c r="F370" s="146" t="str">
        <f t="shared" si="32"/>
        <v/>
      </c>
      <c r="G370" s="185"/>
      <c r="H370" s="185"/>
      <c r="I370" s="185"/>
      <c r="J370" s="201"/>
      <c r="K370" s="200"/>
      <c r="L370" s="200"/>
      <c r="M370" s="201"/>
      <c r="N370" s="201"/>
      <c r="P370" s="141" t="str">
        <f t="shared" si="33"/>
        <v/>
      </c>
      <c r="Q370" s="141" t="str">
        <f t="shared" si="34"/>
        <v/>
      </c>
      <c r="AA370" s="141" t="s">
        <v>1102</v>
      </c>
      <c r="AB370" s="141" t="s">
        <v>1103</v>
      </c>
    </row>
    <row r="371" spans="1:28">
      <c r="A371" s="151"/>
      <c r="B371" s="146" t="str">
        <f t="shared" si="30"/>
        <v/>
      </c>
      <c r="C371" s="151"/>
      <c r="D371" s="146" t="str">
        <f t="shared" si="31"/>
        <v/>
      </c>
      <c r="E371" s="186"/>
      <c r="F371" s="146" t="str">
        <f t="shared" si="32"/>
        <v/>
      </c>
      <c r="G371" s="185"/>
      <c r="H371" s="185"/>
      <c r="I371" s="185"/>
      <c r="J371" s="201"/>
      <c r="K371" s="200"/>
      <c r="L371" s="200"/>
      <c r="M371" s="201"/>
      <c r="N371" s="201"/>
      <c r="P371" s="141" t="str">
        <f t="shared" si="33"/>
        <v/>
      </c>
      <c r="Q371" s="141" t="str">
        <f t="shared" si="34"/>
        <v/>
      </c>
      <c r="AA371" s="141" t="s">
        <v>1104</v>
      </c>
      <c r="AB371" s="141" t="s">
        <v>1105</v>
      </c>
    </row>
    <row r="372" spans="1:28">
      <c r="A372" s="151"/>
      <c r="B372" s="146" t="str">
        <f t="shared" si="30"/>
        <v/>
      </c>
      <c r="C372" s="151"/>
      <c r="D372" s="146" t="str">
        <f t="shared" si="31"/>
        <v/>
      </c>
      <c r="E372" s="186"/>
      <c r="F372" s="146" t="str">
        <f t="shared" si="32"/>
        <v/>
      </c>
      <c r="G372" s="185"/>
      <c r="H372" s="185"/>
      <c r="I372" s="185"/>
      <c r="J372" s="201"/>
      <c r="K372" s="200"/>
      <c r="L372" s="200"/>
      <c r="M372" s="201"/>
      <c r="N372" s="201"/>
      <c r="P372" s="141" t="str">
        <f t="shared" si="33"/>
        <v/>
      </c>
      <c r="Q372" s="141" t="str">
        <f t="shared" si="34"/>
        <v/>
      </c>
      <c r="AA372" s="141" t="s">
        <v>1106</v>
      </c>
      <c r="AB372" s="141" t="s">
        <v>1107</v>
      </c>
    </row>
    <row r="373" spans="1:28">
      <c r="A373" s="151"/>
      <c r="B373" s="146" t="str">
        <f t="shared" si="30"/>
        <v/>
      </c>
      <c r="C373" s="151"/>
      <c r="D373" s="146" t="str">
        <f t="shared" si="31"/>
        <v/>
      </c>
      <c r="E373" s="186"/>
      <c r="F373" s="146" t="str">
        <f t="shared" si="32"/>
        <v/>
      </c>
      <c r="G373" s="185"/>
      <c r="H373" s="185"/>
      <c r="I373" s="185"/>
      <c r="J373" s="201"/>
      <c r="K373" s="200"/>
      <c r="L373" s="200"/>
      <c r="M373" s="201"/>
      <c r="N373" s="201"/>
      <c r="P373" s="141" t="str">
        <f t="shared" si="33"/>
        <v/>
      </c>
      <c r="Q373" s="141" t="str">
        <f t="shared" si="34"/>
        <v/>
      </c>
      <c r="AA373" s="141" t="s">
        <v>1966</v>
      </c>
      <c r="AB373" s="141" t="s">
        <v>1967</v>
      </c>
    </row>
    <row r="374" spans="1:28">
      <c r="A374" s="151"/>
      <c r="B374" s="146" t="str">
        <f t="shared" si="30"/>
        <v/>
      </c>
      <c r="C374" s="151"/>
      <c r="D374" s="146" t="str">
        <f t="shared" si="31"/>
        <v/>
      </c>
      <c r="E374" s="186"/>
      <c r="F374" s="146" t="str">
        <f t="shared" si="32"/>
        <v/>
      </c>
      <c r="G374" s="185"/>
      <c r="H374" s="185"/>
      <c r="I374" s="185"/>
      <c r="J374" s="201"/>
      <c r="K374" s="200"/>
      <c r="L374" s="200"/>
      <c r="M374" s="201"/>
      <c r="N374" s="201"/>
      <c r="P374" s="141" t="str">
        <f t="shared" si="33"/>
        <v/>
      </c>
      <c r="Q374" s="141" t="str">
        <f t="shared" si="34"/>
        <v/>
      </c>
      <c r="AA374" s="141" t="s">
        <v>1968</v>
      </c>
      <c r="AB374" s="141" t="s">
        <v>1969</v>
      </c>
    </row>
    <row r="375" spans="1:28">
      <c r="A375" s="151"/>
      <c r="B375" s="146" t="str">
        <f t="shared" si="30"/>
        <v/>
      </c>
      <c r="C375" s="151"/>
      <c r="D375" s="146" t="str">
        <f t="shared" si="31"/>
        <v/>
      </c>
      <c r="E375" s="186"/>
      <c r="F375" s="146" t="str">
        <f t="shared" si="32"/>
        <v/>
      </c>
      <c r="G375" s="185"/>
      <c r="H375" s="185"/>
      <c r="I375" s="185"/>
      <c r="J375" s="201"/>
      <c r="K375" s="200"/>
      <c r="L375" s="200"/>
      <c r="M375" s="201"/>
      <c r="N375" s="201"/>
      <c r="P375" s="141" t="str">
        <f t="shared" si="33"/>
        <v/>
      </c>
      <c r="Q375" s="141" t="str">
        <f t="shared" si="34"/>
        <v/>
      </c>
      <c r="AA375" s="141" t="s">
        <v>1108</v>
      </c>
      <c r="AB375" s="141" t="s">
        <v>347</v>
      </c>
    </row>
    <row r="376" spans="1:28">
      <c r="A376" s="151"/>
      <c r="B376" s="146" t="str">
        <f t="shared" si="30"/>
        <v/>
      </c>
      <c r="C376" s="151"/>
      <c r="D376" s="146" t="str">
        <f t="shared" si="31"/>
        <v/>
      </c>
      <c r="E376" s="186"/>
      <c r="F376" s="146" t="str">
        <f t="shared" si="32"/>
        <v/>
      </c>
      <c r="G376" s="185"/>
      <c r="H376" s="185"/>
      <c r="I376" s="185"/>
      <c r="J376" s="201"/>
      <c r="K376" s="200"/>
      <c r="L376" s="200"/>
      <c r="M376" s="201"/>
      <c r="N376" s="201"/>
      <c r="P376" s="141" t="str">
        <f t="shared" si="33"/>
        <v/>
      </c>
      <c r="Q376" s="141" t="str">
        <f t="shared" si="34"/>
        <v/>
      </c>
      <c r="AA376" s="141" t="s">
        <v>1109</v>
      </c>
      <c r="AB376" s="141" t="s">
        <v>348</v>
      </c>
    </row>
    <row r="377" spans="1:28">
      <c r="A377" s="151"/>
      <c r="B377" s="146" t="str">
        <f t="shared" si="30"/>
        <v/>
      </c>
      <c r="C377" s="151"/>
      <c r="D377" s="146" t="str">
        <f t="shared" si="31"/>
        <v/>
      </c>
      <c r="E377" s="186"/>
      <c r="F377" s="146" t="str">
        <f t="shared" si="32"/>
        <v/>
      </c>
      <c r="G377" s="185"/>
      <c r="H377" s="185"/>
      <c r="I377" s="185"/>
      <c r="J377" s="201"/>
      <c r="K377" s="200"/>
      <c r="L377" s="200"/>
      <c r="M377" s="201"/>
      <c r="N377" s="201"/>
      <c r="P377" s="141" t="str">
        <f t="shared" si="33"/>
        <v/>
      </c>
      <c r="Q377" s="141" t="str">
        <f t="shared" si="34"/>
        <v/>
      </c>
      <c r="AA377" s="141" t="s">
        <v>1110</v>
      </c>
      <c r="AB377" s="141" t="s">
        <v>1111</v>
      </c>
    </row>
    <row r="378" spans="1:28">
      <c r="A378" s="151"/>
      <c r="B378" s="146" t="str">
        <f t="shared" si="30"/>
        <v/>
      </c>
      <c r="C378" s="151"/>
      <c r="D378" s="146" t="str">
        <f t="shared" si="31"/>
        <v/>
      </c>
      <c r="E378" s="186"/>
      <c r="F378" s="146" t="str">
        <f t="shared" si="32"/>
        <v/>
      </c>
      <c r="G378" s="185"/>
      <c r="H378" s="185"/>
      <c r="I378" s="185"/>
      <c r="J378" s="201"/>
      <c r="K378" s="200"/>
      <c r="L378" s="200"/>
      <c r="M378" s="201"/>
      <c r="N378" s="201"/>
      <c r="P378" s="141" t="str">
        <f t="shared" si="33"/>
        <v/>
      </c>
      <c r="Q378" s="141" t="str">
        <f t="shared" si="34"/>
        <v/>
      </c>
      <c r="AA378" s="141" t="s">
        <v>1112</v>
      </c>
      <c r="AB378" s="141" t="s">
        <v>1113</v>
      </c>
    </row>
    <row r="379" spans="1:28">
      <c r="A379" s="151"/>
      <c r="B379" s="146" t="str">
        <f t="shared" si="30"/>
        <v/>
      </c>
      <c r="C379" s="151"/>
      <c r="D379" s="146" t="str">
        <f t="shared" si="31"/>
        <v/>
      </c>
      <c r="E379" s="186"/>
      <c r="F379" s="146" t="str">
        <f t="shared" si="32"/>
        <v/>
      </c>
      <c r="G379" s="185"/>
      <c r="H379" s="185"/>
      <c r="I379" s="185"/>
      <c r="J379" s="201"/>
      <c r="K379" s="200"/>
      <c r="L379" s="200"/>
      <c r="M379" s="201"/>
      <c r="N379" s="201"/>
      <c r="P379" s="141" t="str">
        <f t="shared" si="33"/>
        <v/>
      </c>
      <c r="Q379" s="141" t="str">
        <f t="shared" si="34"/>
        <v/>
      </c>
      <c r="AA379" s="141" t="s">
        <v>1970</v>
      </c>
      <c r="AB379" s="141" t="s">
        <v>1495</v>
      </c>
    </row>
    <row r="380" spans="1:28">
      <c r="A380" s="151"/>
      <c r="B380" s="146" t="str">
        <f t="shared" si="30"/>
        <v/>
      </c>
      <c r="C380" s="151"/>
      <c r="D380" s="146" t="str">
        <f t="shared" si="31"/>
        <v/>
      </c>
      <c r="E380" s="186"/>
      <c r="F380" s="146" t="str">
        <f t="shared" si="32"/>
        <v/>
      </c>
      <c r="G380" s="185"/>
      <c r="H380" s="185"/>
      <c r="I380" s="185"/>
      <c r="J380" s="201"/>
      <c r="K380" s="200"/>
      <c r="L380" s="200"/>
      <c r="M380" s="201"/>
      <c r="N380" s="201"/>
      <c r="P380" s="141" t="str">
        <f t="shared" si="33"/>
        <v/>
      </c>
      <c r="Q380" s="141" t="str">
        <f t="shared" si="34"/>
        <v/>
      </c>
      <c r="AA380" s="141" t="s">
        <v>1114</v>
      </c>
      <c r="AB380" s="141" t="s">
        <v>1115</v>
      </c>
    </row>
    <row r="381" spans="1:28">
      <c r="A381" s="151"/>
      <c r="B381" s="146" t="str">
        <f t="shared" si="30"/>
        <v/>
      </c>
      <c r="C381" s="151"/>
      <c r="D381" s="146" t="str">
        <f t="shared" si="31"/>
        <v/>
      </c>
      <c r="E381" s="186"/>
      <c r="F381" s="146" t="str">
        <f t="shared" si="32"/>
        <v/>
      </c>
      <c r="G381" s="185"/>
      <c r="H381" s="185"/>
      <c r="I381" s="185"/>
      <c r="J381" s="201"/>
      <c r="K381" s="200"/>
      <c r="L381" s="200"/>
      <c r="M381" s="201"/>
      <c r="N381" s="201"/>
      <c r="P381" s="141" t="str">
        <f t="shared" si="33"/>
        <v/>
      </c>
      <c r="Q381" s="141" t="str">
        <f t="shared" si="34"/>
        <v/>
      </c>
      <c r="AA381" s="141" t="s">
        <v>1116</v>
      </c>
      <c r="AB381" s="141" t="s">
        <v>1117</v>
      </c>
    </row>
    <row r="382" spans="1:28">
      <c r="A382" s="151"/>
      <c r="B382" s="146" t="str">
        <f t="shared" si="30"/>
        <v/>
      </c>
      <c r="C382" s="151"/>
      <c r="D382" s="146" t="str">
        <f t="shared" si="31"/>
        <v/>
      </c>
      <c r="E382" s="186"/>
      <c r="F382" s="146" t="str">
        <f t="shared" si="32"/>
        <v/>
      </c>
      <c r="G382" s="185"/>
      <c r="H382" s="185"/>
      <c r="I382" s="185"/>
      <c r="J382" s="201"/>
      <c r="K382" s="200"/>
      <c r="L382" s="200"/>
      <c r="M382" s="201"/>
      <c r="N382" s="201"/>
      <c r="P382" s="141" t="str">
        <f t="shared" si="33"/>
        <v/>
      </c>
      <c r="Q382" s="141" t="str">
        <f t="shared" si="34"/>
        <v/>
      </c>
      <c r="AA382" s="141" t="s">
        <v>1118</v>
      </c>
      <c r="AB382" s="141" t="s">
        <v>1119</v>
      </c>
    </row>
    <row r="383" spans="1:28">
      <c r="A383" s="151"/>
      <c r="B383" s="146" t="str">
        <f t="shared" si="30"/>
        <v/>
      </c>
      <c r="C383" s="151"/>
      <c r="D383" s="146" t="str">
        <f t="shared" si="31"/>
        <v/>
      </c>
      <c r="E383" s="186"/>
      <c r="F383" s="146" t="str">
        <f t="shared" si="32"/>
        <v/>
      </c>
      <c r="G383" s="185"/>
      <c r="H383" s="185"/>
      <c r="I383" s="185"/>
      <c r="J383" s="201"/>
      <c r="K383" s="200"/>
      <c r="L383" s="200"/>
      <c r="M383" s="201"/>
      <c r="N383" s="201"/>
      <c r="P383" s="141" t="str">
        <f t="shared" si="33"/>
        <v/>
      </c>
      <c r="Q383" s="141" t="str">
        <f t="shared" si="34"/>
        <v/>
      </c>
      <c r="AA383" s="141" t="s">
        <v>1120</v>
      </c>
      <c r="AB383" s="141" t="s">
        <v>1121</v>
      </c>
    </row>
    <row r="384" spans="1:28">
      <c r="A384" s="151"/>
      <c r="B384" s="146" t="str">
        <f t="shared" si="30"/>
        <v/>
      </c>
      <c r="C384" s="151"/>
      <c r="D384" s="146" t="str">
        <f t="shared" si="31"/>
        <v/>
      </c>
      <c r="E384" s="186"/>
      <c r="F384" s="146" t="str">
        <f t="shared" si="32"/>
        <v/>
      </c>
      <c r="G384" s="185"/>
      <c r="H384" s="185"/>
      <c r="I384" s="185"/>
      <c r="J384" s="201"/>
      <c r="K384" s="200"/>
      <c r="L384" s="200"/>
      <c r="M384" s="201"/>
      <c r="N384" s="201"/>
      <c r="P384" s="141" t="str">
        <f t="shared" si="33"/>
        <v/>
      </c>
      <c r="Q384" s="141" t="str">
        <f t="shared" si="34"/>
        <v/>
      </c>
      <c r="AA384" s="141" t="s">
        <v>1122</v>
      </c>
      <c r="AB384" s="141" t="s">
        <v>1123</v>
      </c>
    </row>
    <row r="385" spans="1:28">
      <c r="A385" s="151"/>
      <c r="B385" s="146" t="str">
        <f t="shared" si="30"/>
        <v/>
      </c>
      <c r="C385" s="151"/>
      <c r="D385" s="146" t="str">
        <f t="shared" si="31"/>
        <v/>
      </c>
      <c r="E385" s="186"/>
      <c r="F385" s="146" t="str">
        <f t="shared" si="32"/>
        <v/>
      </c>
      <c r="G385" s="185"/>
      <c r="H385" s="185"/>
      <c r="I385" s="185"/>
      <c r="J385" s="201"/>
      <c r="K385" s="200"/>
      <c r="L385" s="200"/>
      <c r="M385" s="201"/>
      <c r="N385" s="201"/>
      <c r="P385" s="141" t="str">
        <f t="shared" si="33"/>
        <v/>
      </c>
      <c r="Q385" s="141" t="str">
        <f t="shared" si="34"/>
        <v/>
      </c>
      <c r="AA385" s="141" t="s">
        <v>1124</v>
      </c>
      <c r="AB385" s="141" t="s">
        <v>1125</v>
      </c>
    </row>
    <row r="386" spans="1:28">
      <c r="A386" s="151"/>
      <c r="B386" s="146" t="str">
        <f t="shared" si="30"/>
        <v/>
      </c>
      <c r="C386" s="151"/>
      <c r="D386" s="146" t="str">
        <f t="shared" si="31"/>
        <v/>
      </c>
      <c r="E386" s="186"/>
      <c r="F386" s="146" t="str">
        <f t="shared" si="32"/>
        <v/>
      </c>
      <c r="G386" s="185"/>
      <c r="H386" s="185"/>
      <c r="I386" s="185"/>
      <c r="J386" s="201"/>
      <c r="K386" s="200"/>
      <c r="L386" s="200"/>
      <c r="M386" s="201"/>
      <c r="N386" s="201"/>
      <c r="P386" s="141" t="str">
        <f t="shared" si="33"/>
        <v/>
      </c>
      <c r="Q386" s="141" t="str">
        <f t="shared" si="34"/>
        <v/>
      </c>
      <c r="AA386" s="141" t="s">
        <v>1126</v>
      </c>
      <c r="AB386" s="141" t="s">
        <v>1127</v>
      </c>
    </row>
    <row r="387" spans="1:28">
      <c r="A387" s="151"/>
      <c r="B387" s="146" t="str">
        <f t="shared" si="30"/>
        <v/>
      </c>
      <c r="C387" s="151"/>
      <c r="D387" s="146" t="str">
        <f t="shared" si="31"/>
        <v/>
      </c>
      <c r="E387" s="186"/>
      <c r="F387" s="146" t="str">
        <f t="shared" si="32"/>
        <v/>
      </c>
      <c r="G387" s="185"/>
      <c r="H387" s="185"/>
      <c r="I387" s="185"/>
      <c r="J387" s="201"/>
      <c r="K387" s="200"/>
      <c r="L387" s="200"/>
      <c r="M387" s="201"/>
      <c r="N387" s="201"/>
      <c r="P387" s="141" t="str">
        <f t="shared" si="33"/>
        <v/>
      </c>
      <c r="Q387" s="141" t="str">
        <f t="shared" si="34"/>
        <v/>
      </c>
      <c r="AA387" s="141" t="s">
        <v>1128</v>
      </c>
      <c r="AB387" s="141" t="s">
        <v>1129</v>
      </c>
    </row>
    <row r="388" spans="1:28">
      <c r="A388" s="151"/>
      <c r="B388" s="146" t="str">
        <f t="shared" ref="B388:B451" si="35">IFERROR(VLOOKUP(A388,$R$6:$S$23,2,FALSE),"")</f>
        <v/>
      </c>
      <c r="C388" s="151"/>
      <c r="D388" s="146" t="str">
        <f t="shared" ref="D388:D451" si="36">IFERROR(VLOOKUP(C388,$U$5:$W$129,2,FALSE),"")</f>
        <v/>
      </c>
      <c r="E388" s="186"/>
      <c r="F388" s="146" t="str">
        <f t="shared" ref="F388:F451" si="37">IFERROR(VLOOKUP(E388,$AA$5:$AB$500,2,FALSE),"")</f>
        <v/>
      </c>
      <c r="G388" s="185"/>
      <c r="H388" s="185"/>
      <c r="I388" s="185"/>
      <c r="J388" s="201"/>
      <c r="K388" s="200"/>
      <c r="L388" s="200"/>
      <c r="M388" s="201"/>
      <c r="N388" s="201"/>
      <c r="P388" s="141" t="str">
        <f t="shared" ref="P388:P451" si="38">LEFT(C388,3)</f>
        <v/>
      </c>
      <c r="Q388" s="141" t="str">
        <f t="shared" ref="Q388:Q451" si="39">LEFT(C388,2)</f>
        <v/>
      </c>
      <c r="AA388" s="141" t="s">
        <v>1130</v>
      </c>
      <c r="AB388" s="141" t="s">
        <v>1131</v>
      </c>
    </row>
    <row r="389" spans="1:28">
      <c r="A389" s="151"/>
      <c r="B389" s="146" t="str">
        <f t="shared" si="35"/>
        <v/>
      </c>
      <c r="C389" s="151"/>
      <c r="D389" s="146" t="str">
        <f t="shared" si="36"/>
        <v/>
      </c>
      <c r="E389" s="186"/>
      <c r="F389" s="146" t="str">
        <f t="shared" si="37"/>
        <v/>
      </c>
      <c r="G389" s="185"/>
      <c r="H389" s="185"/>
      <c r="I389" s="185"/>
      <c r="J389" s="201"/>
      <c r="K389" s="200"/>
      <c r="L389" s="200"/>
      <c r="M389" s="201"/>
      <c r="N389" s="201"/>
      <c r="P389" s="141" t="str">
        <f t="shared" si="38"/>
        <v/>
      </c>
      <c r="Q389" s="141" t="str">
        <f t="shared" si="39"/>
        <v/>
      </c>
      <c r="AA389" s="141" t="s">
        <v>1132</v>
      </c>
      <c r="AB389" s="141" t="s">
        <v>1133</v>
      </c>
    </row>
    <row r="390" spans="1:28">
      <c r="A390" s="151"/>
      <c r="B390" s="146" t="str">
        <f t="shared" si="35"/>
        <v/>
      </c>
      <c r="C390" s="151"/>
      <c r="D390" s="146" t="str">
        <f t="shared" si="36"/>
        <v/>
      </c>
      <c r="E390" s="186"/>
      <c r="F390" s="146" t="str">
        <f t="shared" si="37"/>
        <v/>
      </c>
      <c r="G390" s="185"/>
      <c r="H390" s="185"/>
      <c r="I390" s="185"/>
      <c r="J390" s="201"/>
      <c r="K390" s="200"/>
      <c r="L390" s="200"/>
      <c r="M390" s="201"/>
      <c r="N390" s="201"/>
      <c r="P390" s="141" t="str">
        <f t="shared" si="38"/>
        <v/>
      </c>
      <c r="Q390" s="141" t="str">
        <f t="shared" si="39"/>
        <v/>
      </c>
      <c r="AA390" s="141" t="s">
        <v>1134</v>
      </c>
      <c r="AB390" s="141" t="s">
        <v>1135</v>
      </c>
    </row>
    <row r="391" spans="1:28">
      <c r="A391" s="151"/>
      <c r="B391" s="146" t="str">
        <f t="shared" si="35"/>
        <v/>
      </c>
      <c r="C391" s="151"/>
      <c r="D391" s="146" t="str">
        <f t="shared" si="36"/>
        <v/>
      </c>
      <c r="E391" s="186"/>
      <c r="F391" s="146" t="str">
        <f t="shared" si="37"/>
        <v/>
      </c>
      <c r="G391" s="185"/>
      <c r="H391" s="185"/>
      <c r="I391" s="185"/>
      <c r="J391" s="201"/>
      <c r="K391" s="200"/>
      <c r="L391" s="200"/>
      <c r="M391" s="201"/>
      <c r="N391" s="201"/>
      <c r="P391" s="141" t="str">
        <f t="shared" si="38"/>
        <v/>
      </c>
      <c r="Q391" s="141" t="str">
        <f t="shared" si="39"/>
        <v/>
      </c>
      <c r="AA391" s="141" t="s">
        <v>1136</v>
      </c>
      <c r="AB391" s="141" t="s">
        <v>1137</v>
      </c>
    </row>
    <row r="392" spans="1:28">
      <c r="A392" s="151"/>
      <c r="B392" s="146" t="str">
        <f t="shared" si="35"/>
        <v/>
      </c>
      <c r="C392" s="151"/>
      <c r="D392" s="146" t="str">
        <f t="shared" si="36"/>
        <v/>
      </c>
      <c r="E392" s="186"/>
      <c r="F392" s="146" t="str">
        <f t="shared" si="37"/>
        <v/>
      </c>
      <c r="G392" s="185"/>
      <c r="H392" s="185"/>
      <c r="I392" s="185"/>
      <c r="J392" s="201"/>
      <c r="K392" s="200"/>
      <c r="L392" s="200"/>
      <c r="M392" s="201"/>
      <c r="N392" s="201"/>
      <c r="P392" s="141" t="str">
        <f t="shared" si="38"/>
        <v/>
      </c>
      <c r="Q392" s="141" t="str">
        <f t="shared" si="39"/>
        <v/>
      </c>
      <c r="AA392" s="141" t="s">
        <v>1138</v>
      </c>
      <c r="AB392" s="141" t="s">
        <v>1139</v>
      </c>
    </row>
    <row r="393" spans="1:28">
      <c r="A393" s="151"/>
      <c r="B393" s="146" t="str">
        <f t="shared" si="35"/>
        <v/>
      </c>
      <c r="C393" s="151"/>
      <c r="D393" s="146" t="str">
        <f t="shared" si="36"/>
        <v/>
      </c>
      <c r="E393" s="186"/>
      <c r="F393" s="146" t="str">
        <f t="shared" si="37"/>
        <v/>
      </c>
      <c r="G393" s="185"/>
      <c r="H393" s="185"/>
      <c r="I393" s="185"/>
      <c r="J393" s="201"/>
      <c r="K393" s="200"/>
      <c r="L393" s="200"/>
      <c r="M393" s="201"/>
      <c r="N393" s="201"/>
      <c r="P393" s="141" t="str">
        <f t="shared" si="38"/>
        <v/>
      </c>
      <c r="Q393" s="141" t="str">
        <f t="shared" si="39"/>
        <v/>
      </c>
      <c r="AA393" s="141" t="s">
        <v>1140</v>
      </c>
      <c r="AB393" s="141" t="s">
        <v>1141</v>
      </c>
    </row>
    <row r="394" spans="1:28">
      <c r="A394" s="151"/>
      <c r="B394" s="146" t="str">
        <f t="shared" si="35"/>
        <v/>
      </c>
      <c r="C394" s="151"/>
      <c r="D394" s="146" t="str">
        <f t="shared" si="36"/>
        <v/>
      </c>
      <c r="E394" s="186"/>
      <c r="F394" s="146" t="str">
        <f t="shared" si="37"/>
        <v/>
      </c>
      <c r="G394" s="185"/>
      <c r="H394" s="185"/>
      <c r="I394" s="185"/>
      <c r="J394" s="201"/>
      <c r="K394" s="200"/>
      <c r="L394" s="200"/>
      <c r="M394" s="201"/>
      <c r="N394" s="201"/>
      <c r="P394" s="141" t="str">
        <f t="shared" si="38"/>
        <v/>
      </c>
      <c r="Q394" s="141" t="str">
        <f t="shared" si="39"/>
        <v/>
      </c>
      <c r="AA394" s="141" t="s">
        <v>1142</v>
      </c>
      <c r="AB394" s="141" t="s">
        <v>1143</v>
      </c>
    </row>
    <row r="395" spans="1:28">
      <c r="A395" s="151"/>
      <c r="B395" s="146" t="str">
        <f t="shared" si="35"/>
        <v/>
      </c>
      <c r="C395" s="151"/>
      <c r="D395" s="146" t="str">
        <f t="shared" si="36"/>
        <v/>
      </c>
      <c r="E395" s="186"/>
      <c r="F395" s="146" t="str">
        <f t="shared" si="37"/>
        <v/>
      </c>
      <c r="G395" s="185"/>
      <c r="H395" s="185"/>
      <c r="I395" s="185"/>
      <c r="J395" s="201"/>
      <c r="K395" s="200"/>
      <c r="L395" s="200"/>
      <c r="M395" s="201"/>
      <c r="N395" s="201"/>
      <c r="P395" s="141" t="str">
        <f t="shared" si="38"/>
        <v/>
      </c>
      <c r="Q395" s="141" t="str">
        <f t="shared" si="39"/>
        <v/>
      </c>
      <c r="AA395" s="141" t="s">
        <v>1144</v>
      </c>
      <c r="AB395" s="141" t="s">
        <v>1145</v>
      </c>
    </row>
    <row r="396" spans="1:28">
      <c r="A396" s="151"/>
      <c r="B396" s="146" t="str">
        <f t="shared" si="35"/>
        <v/>
      </c>
      <c r="C396" s="151"/>
      <c r="D396" s="146" t="str">
        <f t="shared" si="36"/>
        <v/>
      </c>
      <c r="E396" s="186"/>
      <c r="F396" s="146" t="str">
        <f t="shared" si="37"/>
        <v/>
      </c>
      <c r="G396" s="185"/>
      <c r="H396" s="185"/>
      <c r="I396" s="185"/>
      <c r="J396" s="201"/>
      <c r="K396" s="200"/>
      <c r="L396" s="200"/>
      <c r="M396" s="201"/>
      <c r="N396" s="201"/>
      <c r="P396" s="141" t="str">
        <f t="shared" si="38"/>
        <v/>
      </c>
      <c r="Q396" s="141" t="str">
        <f t="shared" si="39"/>
        <v/>
      </c>
      <c r="AA396" s="141" t="s">
        <v>1146</v>
      </c>
      <c r="AB396" s="141" t="s">
        <v>1147</v>
      </c>
    </row>
    <row r="397" spans="1:28">
      <c r="A397" s="151"/>
      <c r="B397" s="146" t="str">
        <f t="shared" si="35"/>
        <v/>
      </c>
      <c r="C397" s="151"/>
      <c r="D397" s="146" t="str">
        <f t="shared" si="36"/>
        <v/>
      </c>
      <c r="E397" s="186"/>
      <c r="F397" s="146" t="str">
        <f t="shared" si="37"/>
        <v/>
      </c>
      <c r="G397" s="185"/>
      <c r="H397" s="185"/>
      <c r="I397" s="185"/>
      <c r="J397" s="201"/>
      <c r="K397" s="200"/>
      <c r="L397" s="200"/>
      <c r="M397" s="201"/>
      <c r="N397" s="201"/>
      <c r="P397" s="141" t="str">
        <f t="shared" si="38"/>
        <v/>
      </c>
      <c r="Q397" s="141" t="str">
        <f t="shared" si="39"/>
        <v/>
      </c>
      <c r="AA397" s="141" t="s">
        <v>1148</v>
      </c>
      <c r="AB397" s="141" t="s">
        <v>1149</v>
      </c>
    </row>
    <row r="398" spans="1:28">
      <c r="A398" s="151"/>
      <c r="B398" s="146" t="str">
        <f t="shared" si="35"/>
        <v/>
      </c>
      <c r="C398" s="151"/>
      <c r="D398" s="146" t="str">
        <f t="shared" si="36"/>
        <v/>
      </c>
      <c r="E398" s="186"/>
      <c r="F398" s="146" t="str">
        <f t="shared" si="37"/>
        <v/>
      </c>
      <c r="G398" s="185"/>
      <c r="H398" s="185"/>
      <c r="I398" s="185"/>
      <c r="J398" s="201"/>
      <c r="K398" s="200"/>
      <c r="L398" s="200"/>
      <c r="M398" s="201"/>
      <c r="N398" s="201"/>
      <c r="P398" s="141" t="str">
        <f t="shared" si="38"/>
        <v/>
      </c>
      <c r="Q398" s="141" t="str">
        <f t="shared" si="39"/>
        <v/>
      </c>
      <c r="AA398" s="141" t="s">
        <v>1150</v>
      </c>
      <c r="AB398" s="141" t="s">
        <v>1151</v>
      </c>
    </row>
    <row r="399" spans="1:28">
      <c r="A399" s="151"/>
      <c r="B399" s="146" t="str">
        <f t="shared" si="35"/>
        <v/>
      </c>
      <c r="C399" s="151"/>
      <c r="D399" s="146" t="str">
        <f t="shared" si="36"/>
        <v/>
      </c>
      <c r="E399" s="186"/>
      <c r="F399" s="146" t="str">
        <f t="shared" si="37"/>
        <v/>
      </c>
      <c r="G399" s="185"/>
      <c r="H399" s="185"/>
      <c r="I399" s="185"/>
      <c r="J399" s="201"/>
      <c r="K399" s="200"/>
      <c r="L399" s="200"/>
      <c r="M399" s="201"/>
      <c r="N399" s="201"/>
      <c r="P399" s="141" t="str">
        <f t="shared" si="38"/>
        <v/>
      </c>
      <c r="Q399" s="141" t="str">
        <f t="shared" si="39"/>
        <v/>
      </c>
      <c r="AA399" s="141" t="s">
        <v>1152</v>
      </c>
      <c r="AB399" s="141" t="s">
        <v>1153</v>
      </c>
    </row>
    <row r="400" spans="1:28">
      <c r="A400" s="151"/>
      <c r="B400" s="146" t="str">
        <f t="shared" si="35"/>
        <v/>
      </c>
      <c r="C400" s="151"/>
      <c r="D400" s="146" t="str">
        <f t="shared" si="36"/>
        <v/>
      </c>
      <c r="E400" s="186"/>
      <c r="F400" s="146" t="str">
        <f t="shared" si="37"/>
        <v/>
      </c>
      <c r="G400" s="185"/>
      <c r="H400" s="185"/>
      <c r="I400" s="185"/>
      <c r="J400" s="201"/>
      <c r="K400" s="200"/>
      <c r="L400" s="200"/>
      <c r="M400" s="201"/>
      <c r="N400" s="201"/>
      <c r="P400" s="141" t="str">
        <f t="shared" si="38"/>
        <v/>
      </c>
      <c r="Q400" s="141" t="str">
        <f t="shared" si="39"/>
        <v/>
      </c>
      <c r="AA400" s="141" t="s">
        <v>1154</v>
      </c>
      <c r="AB400" s="141" t="s">
        <v>1155</v>
      </c>
    </row>
    <row r="401" spans="1:28">
      <c r="A401" s="151"/>
      <c r="B401" s="146" t="str">
        <f t="shared" si="35"/>
        <v/>
      </c>
      <c r="C401" s="151"/>
      <c r="D401" s="146" t="str">
        <f t="shared" si="36"/>
        <v/>
      </c>
      <c r="E401" s="186"/>
      <c r="F401" s="146" t="str">
        <f t="shared" si="37"/>
        <v/>
      </c>
      <c r="G401" s="185"/>
      <c r="H401" s="185"/>
      <c r="I401" s="185"/>
      <c r="J401" s="201"/>
      <c r="K401" s="200"/>
      <c r="L401" s="200"/>
      <c r="M401" s="201"/>
      <c r="N401" s="201"/>
      <c r="P401" s="141" t="str">
        <f t="shared" si="38"/>
        <v/>
      </c>
      <c r="Q401" s="141" t="str">
        <f t="shared" si="39"/>
        <v/>
      </c>
      <c r="AA401" s="141" t="s">
        <v>1156</v>
      </c>
      <c r="AB401" s="141" t="s">
        <v>1157</v>
      </c>
    </row>
    <row r="402" spans="1:28">
      <c r="A402" s="151"/>
      <c r="B402" s="146" t="str">
        <f t="shared" si="35"/>
        <v/>
      </c>
      <c r="C402" s="151"/>
      <c r="D402" s="146" t="str">
        <f t="shared" si="36"/>
        <v/>
      </c>
      <c r="E402" s="186"/>
      <c r="F402" s="146" t="str">
        <f t="shared" si="37"/>
        <v/>
      </c>
      <c r="G402" s="185"/>
      <c r="H402" s="185"/>
      <c r="I402" s="185"/>
      <c r="J402" s="201"/>
      <c r="K402" s="200"/>
      <c r="L402" s="200"/>
      <c r="M402" s="201"/>
      <c r="N402" s="201"/>
      <c r="P402" s="141" t="str">
        <f t="shared" si="38"/>
        <v/>
      </c>
      <c r="Q402" s="141" t="str">
        <f t="shared" si="39"/>
        <v/>
      </c>
      <c r="AA402" s="141" t="s">
        <v>1158</v>
      </c>
      <c r="AB402" s="141" t="s">
        <v>1159</v>
      </c>
    </row>
    <row r="403" spans="1:28">
      <c r="A403" s="151"/>
      <c r="B403" s="146" t="str">
        <f t="shared" si="35"/>
        <v/>
      </c>
      <c r="C403" s="151"/>
      <c r="D403" s="146" t="str">
        <f t="shared" si="36"/>
        <v/>
      </c>
      <c r="E403" s="186"/>
      <c r="F403" s="146" t="str">
        <f t="shared" si="37"/>
        <v/>
      </c>
      <c r="G403" s="185"/>
      <c r="H403" s="185"/>
      <c r="I403" s="185"/>
      <c r="J403" s="201"/>
      <c r="K403" s="200"/>
      <c r="L403" s="200"/>
      <c r="M403" s="201"/>
      <c r="N403" s="201"/>
      <c r="P403" s="141" t="str">
        <f t="shared" si="38"/>
        <v/>
      </c>
      <c r="Q403" s="141" t="str">
        <f t="shared" si="39"/>
        <v/>
      </c>
      <c r="AA403" s="141" t="s">
        <v>1160</v>
      </c>
      <c r="AB403" s="141" t="s">
        <v>1161</v>
      </c>
    </row>
    <row r="404" spans="1:28">
      <c r="A404" s="151"/>
      <c r="B404" s="146" t="str">
        <f t="shared" si="35"/>
        <v/>
      </c>
      <c r="C404" s="151"/>
      <c r="D404" s="146" t="str">
        <f t="shared" si="36"/>
        <v/>
      </c>
      <c r="E404" s="186"/>
      <c r="F404" s="146" t="str">
        <f t="shared" si="37"/>
        <v/>
      </c>
      <c r="G404" s="185"/>
      <c r="H404" s="185"/>
      <c r="I404" s="185"/>
      <c r="J404" s="201"/>
      <c r="K404" s="200"/>
      <c r="L404" s="200"/>
      <c r="M404" s="201"/>
      <c r="N404" s="201"/>
      <c r="P404" s="141" t="str">
        <f t="shared" si="38"/>
        <v/>
      </c>
      <c r="Q404" s="141" t="str">
        <f t="shared" si="39"/>
        <v/>
      </c>
      <c r="AA404" s="141" t="s">
        <v>1162</v>
      </c>
      <c r="AB404" s="141" t="s">
        <v>1163</v>
      </c>
    </row>
    <row r="405" spans="1:28">
      <c r="A405" s="151"/>
      <c r="B405" s="146" t="str">
        <f t="shared" si="35"/>
        <v/>
      </c>
      <c r="C405" s="151"/>
      <c r="D405" s="146" t="str">
        <f t="shared" si="36"/>
        <v/>
      </c>
      <c r="E405" s="186"/>
      <c r="F405" s="146" t="str">
        <f t="shared" si="37"/>
        <v/>
      </c>
      <c r="G405" s="185"/>
      <c r="H405" s="185"/>
      <c r="I405" s="185"/>
      <c r="J405" s="201"/>
      <c r="K405" s="200"/>
      <c r="L405" s="200"/>
      <c r="M405" s="201"/>
      <c r="N405" s="201"/>
      <c r="P405" s="141" t="str">
        <f t="shared" si="38"/>
        <v/>
      </c>
      <c r="Q405" s="141" t="str">
        <f t="shared" si="39"/>
        <v/>
      </c>
      <c r="AA405" s="141" t="s">
        <v>1164</v>
      </c>
      <c r="AB405" s="141" t="s">
        <v>1165</v>
      </c>
    </row>
    <row r="406" spans="1:28">
      <c r="A406" s="151"/>
      <c r="B406" s="146" t="str">
        <f t="shared" si="35"/>
        <v/>
      </c>
      <c r="C406" s="151"/>
      <c r="D406" s="146" t="str">
        <f t="shared" si="36"/>
        <v/>
      </c>
      <c r="E406" s="186"/>
      <c r="F406" s="146" t="str">
        <f t="shared" si="37"/>
        <v/>
      </c>
      <c r="G406" s="185"/>
      <c r="H406" s="185"/>
      <c r="I406" s="185"/>
      <c r="J406" s="201"/>
      <c r="K406" s="200"/>
      <c r="L406" s="200"/>
      <c r="M406" s="201"/>
      <c r="N406" s="201"/>
      <c r="P406" s="141" t="str">
        <f t="shared" si="38"/>
        <v/>
      </c>
      <c r="Q406" s="141" t="str">
        <f t="shared" si="39"/>
        <v/>
      </c>
      <c r="AA406" s="141" t="s">
        <v>1166</v>
      </c>
      <c r="AB406" s="141" t="s">
        <v>1167</v>
      </c>
    </row>
    <row r="407" spans="1:28">
      <c r="A407" s="151"/>
      <c r="B407" s="146" t="str">
        <f t="shared" si="35"/>
        <v/>
      </c>
      <c r="C407" s="151"/>
      <c r="D407" s="146" t="str">
        <f t="shared" si="36"/>
        <v/>
      </c>
      <c r="E407" s="186"/>
      <c r="F407" s="146" t="str">
        <f t="shared" si="37"/>
        <v/>
      </c>
      <c r="G407" s="185"/>
      <c r="H407" s="185"/>
      <c r="I407" s="185"/>
      <c r="J407" s="201"/>
      <c r="K407" s="200"/>
      <c r="L407" s="200"/>
      <c r="M407" s="201"/>
      <c r="N407" s="201"/>
      <c r="P407" s="141" t="str">
        <f t="shared" si="38"/>
        <v/>
      </c>
      <c r="Q407" s="141" t="str">
        <f t="shared" si="39"/>
        <v/>
      </c>
      <c r="AA407" s="141" t="s">
        <v>1168</v>
      </c>
      <c r="AB407" s="141" t="s">
        <v>1169</v>
      </c>
    </row>
    <row r="408" spans="1:28">
      <c r="A408" s="151"/>
      <c r="B408" s="146" t="str">
        <f t="shared" si="35"/>
        <v/>
      </c>
      <c r="C408" s="151"/>
      <c r="D408" s="146" t="str">
        <f t="shared" si="36"/>
        <v/>
      </c>
      <c r="E408" s="186"/>
      <c r="F408" s="146" t="str">
        <f t="shared" si="37"/>
        <v/>
      </c>
      <c r="G408" s="185"/>
      <c r="H408" s="185"/>
      <c r="I408" s="185"/>
      <c r="J408" s="201"/>
      <c r="K408" s="200"/>
      <c r="L408" s="200"/>
      <c r="M408" s="201"/>
      <c r="N408" s="201"/>
      <c r="P408" s="141" t="str">
        <f t="shared" si="38"/>
        <v/>
      </c>
      <c r="Q408" s="141" t="str">
        <f t="shared" si="39"/>
        <v/>
      </c>
      <c r="AA408" s="141" t="s">
        <v>1170</v>
      </c>
      <c r="AB408" s="141" t="s">
        <v>1171</v>
      </c>
    </row>
    <row r="409" spans="1:28">
      <c r="A409" s="151"/>
      <c r="B409" s="146" t="str">
        <f t="shared" si="35"/>
        <v/>
      </c>
      <c r="C409" s="151"/>
      <c r="D409" s="146" t="str">
        <f t="shared" si="36"/>
        <v/>
      </c>
      <c r="E409" s="186"/>
      <c r="F409" s="146" t="str">
        <f t="shared" si="37"/>
        <v/>
      </c>
      <c r="G409" s="185"/>
      <c r="H409" s="185"/>
      <c r="I409" s="185"/>
      <c r="J409" s="201"/>
      <c r="K409" s="200"/>
      <c r="L409" s="200"/>
      <c r="M409" s="201"/>
      <c r="N409" s="201"/>
      <c r="P409" s="141" t="str">
        <f t="shared" si="38"/>
        <v/>
      </c>
      <c r="Q409" s="141" t="str">
        <f t="shared" si="39"/>
        <v/>
      </c>
      <c r="AA409" s="141" t="s">
        <v>1172</v>
      </c>
      <c r="AB409" s="141" t="s">
        <v>1173</v>
      </c>
    </row>
    <row r="410" spans="1:28">
      <c r="A410" s="151"/>
      <c r="B410" s="146" t="str">
        <f t="shared" si="35"/>
        <v/>
      </c>
      <c r="C410" s="151"/>
      <c r="D410" s="146" t="str">
        <f t="shared" si="36"/>
        <v/>
      </c>
      <c r="E410" s="186"/>
      <c r="F410" s="146" t="str">
        <f t="shared" si="37"/>
        <v/>
      </c>
      <c r="G410" s="185"/>
      <c r="H410" s="185"/>
      <c r="I410" s="185"/>
      <c r="J410" s="201"/>
      <c r="K410" s="200"/>
      <c r="L410" s="200"/>
      <c r="M410" s="201"/>
      <c r="N410" s="201"/>
      <c r="P410" s="141" t="str">
        <f t="shared" si="38"/>
        <v/>
      </c>
      <c r="Q410" s="141" t="str">
        <f t="shared" si="39"/>
        <v/>
      </c>
      <c r="AA410" s="141" t="s">
        <v>1174</v>
      </c>
      <c r="AB410" s="141" t="s">
        <v>1175</v>
      </c>
    </row>
    <row r="411" spans="1:28">
      <c r="A411" s="151"/>
      <c r="B411" s="146" t="str">
        <f t="shared" si="35"/>
        <v/>
      </c>
      <c r="C411" s="151"/>
      <c r="D411" s="146" t="str">
        <f t="shared" si="36"/>
        <v/>
      </c>
      <c r="E411" s="186"/>
      <c r="F411" s="146" t="str">
        <f t="shared" si="37"/>
        <v/>
      </c>
      <c r="G411" s="185"/>
      <c r="H411" s="185"/>
      <c r="I411" s="185"/>
      <c r="J411" s="201"/>
      <c r="K411" s="200"/>
      <c r="L411" s="200"/>
      <c r="M411" s="201"/>
      <c r="N411" s="201"/>
      <c r="P411" s="141" t="str">
        <f t="shared" si="38"/>
        <v/>
      </c>
      <c r="Q411" s="141" t="str">
        <f t="shared" si="39"/>
        <v/>
      </c>
      <c r="AA411" s="141" t="s">
        <v>1176</v>
      </c>
      <c r="AB411" s="141" t="s">
        <v>1177</v>
      </c>
    </row>
    <row r="412" spans="1:28">
      <c r="A412" s="151"/>
      <c r="B412" s="146" t="str">
        <f t="shared" si="35"/>
        <v/>
      </c>
      <c r="C412" s="151"/>
      <c r="D412" s="146" t="str">
        <f t="shared" si="36"/>
        <v/>
      </c>
      <c r="E412" s="186"/>
      <c r="F412" s="146" t="str">
        <f t="shared" si="37"/>
        <v/>
      </c>
      <c r="G412" s="185"/>
      <c r="H412" s="185"/>
      <c r="I412" s="185"/>
      <c r="J412" s="201"/>
      <c r="K412" s="200"/>
      <c r="L412" s="200"/>
      <c r="M412" s="201"/>
      <c r="N412" s="201"/>
      <c r="P412" s="141" t="str">
        <f t="shared" si="38"/>
        <v/>
      </c>
      <c r="Q412" s="141" t="str">
        <f t="shared" si="39"/>
        <v/>
      </c>
      <c r="AA412" s="141" t="s">
        <v>1178</v>
      </c>
      <c r="AB412" s="141" t="s">
        <v>1179</v>
      </c>
    </row>
    <row r="413" spans="1:28">
      <c r="A413" s="151"/>
      <c r="B413" s="146" t="str">
        <f t="shared" si="35"/>
        <v/>
      </c>
      <c r="C413" s="151"/>
      <c r="D413" s="146" t="str">
        <f t="shared" si="36"/>
        <v/>
      </c>
      <c r="E413" s="186"/>
      <c r="F413" s="146" t="str">
        <f t="shared" si="37"/>
        <v/>
      </c>
      <c r="G413" s="185"/>
      <c r="H413" s="185"/>
      <c r="I413" s="185"/>
      <c r="J413" s="201"/>
      <c r="K413" s="200"/>
      <c r="L413" s="200"/>
      <c r="M413" s="201"/>
      <c r="N413" s="201"/>
      <c r="P413" s="141" t="str">
        <f t="shared" si="38"/>
        <v/>
      </c>
      <c r="Q413" s="141" t="str">
        <f t="shared" si="39"/>
        <v/>
      </c>
      <c r="AA413" s="141" t="s">
        <v>1180</v>
      </c>
      <c r="AB413" s="141" t="s">
        <v>1181</v>
      </c>
    </row>
    <row r="414" spans="1:28">
      <c r="A414" s="151"/>
      <c r="B414" s="146" t="str">
        <f t="shared" si="35"/>
        <v/>
      </c>
      <c r="C414" s="151"/>
      <c r="D414" s="146" t="str">
        <f t="shared" si="36"/>
        <v/>
      </c>
      <c r="E414" s="186"/>
      <c r="F414" s="146" t="str">
        <f t="shared" si="37"/>
        <v/>
      </c>
      <c r="G414" s="185"/>
      <c r="H414" s="185"/>
      <c r="I414" s="185"/>
      <c r="J414" s="201"/>
      <c r="K414" s="200"/>
      <c r="L414" s="200"/>
      <c r="M414" s="201"/>
      <c r="N414" s="201"/>
      <c r="P414" s="141" t="str">
        <f t="shared" si="38"/>
        <v/>
      </c>
      <c r="Q414" s="141" t="str">
        <f t="shared" si="39"/>
        <v/>
      </c>
      <c r="AA414" s="141" t="s">
        <v>1182</v>
      </c>
      <c r="AB414" s="141" t="s">
        <v>1183</v>
      </c>
    </row>
    <row r="415" spans="1:28">
      <c r="A415" s="151"/>
      <c r="B415" s="146" t="str">
        <f t="shared" si="35"/>
        <v/>
      </c>
      <c r="C415" s="151"/>
      <c r="D415" s="146" t="str">
        <f t="shared" si="36"/>
        <v/>
      </c>
      <c r="E415" s="186"/>
      <c r="F415" s="146" t="str">
        <f t="shared" si="37"/>
        <v/>
      </c>
      <c r="G415" s="185"/>
      <c r="H415" s="185"/>
      <c r="I415" s="185"/>
      <c r="J415" s="201"/>
      <c r="K415" s="200"/>
      <c r="L415" s="200"/>
      <c r="M415" s="201"/>
      <c r="N415" s="201"/>
      <c r="P415" s="141" t="str">
        <f t="shared" si="38"/>
        <v/>
      </c>
      <c r="Q415" s="141" t="str">
        <f t="shared" si="39"/>
        <v/>
      </c>
      <c r="AA415" s="141" t="s">
        <v>1184</v>
      </c>
      <c r="AB415" s="141" t="s">
        <v>1185</v>
      </c>
    </row>
    <row r="416" spans="1:28">
      <c r="A416" s="151"/>
      <c r="B416" s="146" t="str">
        <f t="shared" si="35"/>
        <v/>
      </c>
      <c r="C416" s="151"/>
      <c r="D416" s="146" t="str">
        <f t="shared" si="36"/>
        <v/>
      </c>
      <c r="E416" s="186"/>
      <c r="F416" s="146" t="str">
        <f t="shared" si="37"/>
        <v/>
      </c>
      <c r="G416" s="185"/>
      <c r="H416" s="185"/>
      <c r="I416" s="185"/>
      <c r="J416" s="201"/>
      <c r="K416" s="200"/>
      <c r="L416" s="200"/>
      <c r="M416" s="201"/>
      <c r="N416" s="201"/>
      <c r="P416" s="141" t="str">
        <f t="shared" si="38"/>
        <v/>
      </c>
      <c r="Q416" s="141" t="str">
        <f t="shared" si="39"/>
        <v/>
      </c>
      <c r="AA416" s="141" t="s">
        <v>1186</v>
      </c>
      <c r="AB416" s="141" t="s">
        <v>1187</v>
      </c>
    </row>
    <row r="417" spans="1:28">
      <c r="A417" s="151"/>
      <c r="B417" s="146" t="str">
        <f t="shared" si="35"/>
        <v/>
      </c>
      <c r="C417" s="151"/>
      <c r="D417" s="146" t="str">
        <f t="shared" si="36"/>
        <v/>
      </c>
      <c r="E417" s="186"/>
      <c r="F417" s="146" t="str">
        <f t="shared" si="37"/>
        <v/>
      </c>
      <c r="G417" s="185"/>
      <c r="H417" s="185"/>
      <c r="I417" s="185"/>
      <c r="J417" s="201"/>
      <c r="K417" s="200"/>
      <c r="L417" s="200"/>
      <c r="M417" s="201"/>
      <c r="N417" s="201"/>
      <c r="P417" s="141" t="str">
        <f t="shared" si="38"/>
        <v/>
      </c>
      <c r="Q417" s="141" t="str">
        <f t="shared" si="39"/>
        <v/>
      </c>
      <c r="AA417" s="141" t="s">
        <v>1188</v>
      </c>
      <c r="AB417" s="141" t="s">
        <v>1189</v>
      </c>
    </row>
    <row r="418" spans="1:28">
      <c r="A418" s="151"/>
      <c r="B418" s="146" t="str">
        <f t="shared" si="35"/>
        <v/>
      </c>
      <c r="C418" s="151"/>
      <c r="D418" s="146" t="str">
        <f t="shared" si="36"/>
        <v/>
      </c>
      <c r="E418" s="186"/>
      <c r="F418" s="146" t="str">
        <f t="shared" si="37"/>
        <v/>
      </c>
      <c r="G418" s="185"/>
      <c r="H418" s="185"/>
      <c r="I418" s="185"/>
      <c r="J418" s="201"/>
      <c r="K418" s="200"/>
      <c r="L418" s="200"/>
      <c r="M418" s="201"/>
      <c r="N418" s="201"/>
      <c r="P418" s="141" t="str">
        <f t="shared" si="38"/>
        <v/>
      </c>
      <c r="Q418" s="141" t="str">
        <f t="shared" si="39"/>
        <v/>
      </c>
      <c r="AA418" s="141" t="s">
        <v>1971</v>
      </c>
      <c r="AB418" s="141" t="s">
        <v>1972</v>
      </c>
    </row>
    <row r="419" spans="1:28">
      <c r="A419" s="151"/>
      <c r="B419" s="146" t="str">
        <f t="shared" si="35"/>
        <v/>
      </c>
      <c r="C419" s="151"/>
      <c r="D419" s="146" t="str">
        <f t="shared" si="36"/>
        <v/>
      </c>
      <c r="E419" s="186"/>
      <c r="F419" s="146" t="str">
        <f t="shared" si="37"/>
        <v/>
      </c>
      <c r="G419" s="185"/>
      <c r="H419" s="185"/>
      <c r="I419" s="185"/>
      <c r="J419" s="201"/>
      <c r="K419" s="200"/>
      <c r="L419" s="200"/>
      <c r="M419" s="201"/>
      <c r="N419" s="201"/>
      <c r="P419" s="141" t="str">
        <f t="shared" si="38"/>
        <v/>
      </c>
      <c r="Q419" s="141" t="str">
        <f t="shared" si="39"/>
        <v/>
      </c>
      <c r="AA419" s="141" t="s">
        <v>1973</v>
      </c>
      <c r="AB419" s="141" t="s">
        <v>1974</v>
      </c>
    </row>
    <row r="420" spans="1:28">
      <c r="A420" s="151"/>
      <c r="B420" s="146" t="str">
        <f t="shared" si="35"/>
        <v/>
      </c>
      <c r="C420" s="151"/>
      <c r="D420" s="146" t="str">
        <f t="shared" si="36"/>
        <v/>
      </c>
      <c r="E420" s="186"/>
      <c r="F420" s="146" t="str">
        <f t="shared" si="37"/>
        <v/>
      </c>
      <c r="G420" s="185"/>
      <c r="H420" s="185"/>
      <c r="I420" s="185"/>
      <c r="J420" s="201"/>
      <c r="K420" s="200"/>
      <c r="L420" s="200"/>
      <c r="M420" s="201"/>
      <c r="N420" s="201"/>
      <c r="P420" s="141" t="str">
        <f t="shared" si="38"/>
        <v/>
      </c>
      <c r="Q420" s="141" t="str">
        <f t="shared" si="39"/>
        <v/>
      </c>
      <c r="AA420" s="141" t="s">
        <v>1975</v>
      </c>
      <c r="AB420" s="141" t="s">
        <v>1976</v>
      </c>
    </row>
    <row r="421" spans="1:28">
      <c r="A421" s="151"/>
      <c r="B421" s="146" t="str">
        <f t="shared" si="35"/>
        <v/>
      </c>
      <c r="C421" s="151"/>
      <c r="D421" s="146" t="str">
        <f t="shared" si="36"/>
        <v/>
      </c>
      <c r="E421" s="186"/>
      <c r="F421" s="146" t="str">
        <f t="shared" si="37"/>
        <v/>
      </c>
      <c r="G421" s="185"/>
      <c r="H421" s="185"/>
      <c r="I421" s="185"/>
      <c r="J421" s="201"/>
      <c r="K421" s="200"/>
      <c r="L421" s="200"/>
      <c r="M421" s="201"/>
      <c r="N421" s="201"/>
      <c r="P421" s="141" t="str">
        <f t="shared" si="38"/>
        <v/>
      </c>
      <c r="Q421" s="141" t="str">
        <f t="shared" si="39"/>
        <v/>
      </c>
      <c r="AA421" s="141" t="s">
        <v>1977</v>
      </c>
      <c r="AB421" s="141" t="s">
        <v>1978</v>
      </c>
    </row>
    <row r="422" spans="1:28">
      <c r="A422" s="151"/>
      <c r="B422" s="146" t="str">
        <f t="shared" si="35"/>
        <v/>
      </c>
      <c r="C422" s="151"/>
      <c r="D422" s="146" t="str">
        <f t="shared" si="36"/>
        <v/>
      </c>
      <c r="E422" s="186"/>
      <c r="F422" s="146" t="str">
        <f t="shared" si="37"/>
        <v/>
      </c>
      <c r="G422" s="185"/>
      <c r="H422" s="185"/>
      <c r="I422" s="185"/>
      <c r="J422" s="201"/>
      <c r="K422" s="200"/>
      <c r="L422" s="200"/>
      <c r="M422" s="201"/>
      <c r="N422" s="201"/>
      <c r="P422" s="141" t="str">
        <f t="shared" si="38"/>
        <v/>
      </c>
      <c r="Q422" s="141" t="str">
        <f t="shared" si="39"/>
        <v/>
      </c>
      <c r="AA422" s="141" t="s">
        <v>1979</v>
      </c>
      <c r="AB422" s="141" t="s">
        <v>1980</v>
      </c>
    </row>
    <row r="423" spans="1:28">
      <c r="A423" s="151"/>
      <c r="B423" s="146" t="str">
        <f t="shared" si="35"/>
        <v/>
      </c>
      <c r="C423" s="151"/>
      <c r="D423" s="146" t="str">
        <f t="shared" si="36"/>
        <v/>
      </c>
      <c r="E423" s="186"/>
      <c r="F423" s="146" t="str">
        <f t="shared" si="37"/>
        <v/>
      </c>
      <c r="G423" s="185"/>
      <c r="H423" s="185"/>
      <c r="I423" s="185"/>
      <c r="J423" s="201"/>
      <c r="K423" s="200"/>
      <c r="L423" s="200"/>
      <c r="M423" s="201"/>
      <c r="N423" s="201"/>
      <c r="P423" s="141" t="str">
        <f t="shared" si="38"/>
        <v/>
      </c>
      <c r="Q423" s="141" t="str">
        <f t="shared" si="39"/>
        <v/>
      </c>
      <c r="AA423" s="141" t="s">
        <v>1981</v>
      </c>
      <c r="AB423" s="141" t="s">
        <v>1982</v>
      </c>
    </row>
    <row r="424" spans="1:28">
      <c r="A424" s="151"/>
      <c r="B424" s="146" t="str">
        <f t="shared" si="35"/>
        <v/>
      </c>
      <c r="C424" s="151"/>
      <c r="D424" s="146" t="str">
        <f t="shared" si="36"/>
        <v/>
      </c>
      <c r="E424" s="186"/>
      <c r="F424" s="146" t="str">
        <f t="shared" si="37"/>
        <v/>
      </c>
      <c r="G424" s="185"/>
      <c r="H424" s="185"/>
      <c r="I424" s="185"/>
      <c r="J424" s="201"/>
      <c r="K424" s="200"/>
      <c r="L424" s="200"/>
      <c r="M424" s="201"/>
      <c r="N424" s="201"/>
      <c r="P424" s="141" t="str">
        <f t="shared" si="38"/>
        <v/>
      </c>
      <c r="Q424" s="141" t="str">
        <f t="shared" si="39"/>
        <v/>
      </c>
      <c r="AA424" s="141" t="s">
        <v>1983</v>
      </c>
      <c r="AB424" s="141" t="s">
        <v>1984</v>
      </c>
    </row>
    <row r="425" spans="1:28">
      <c r="A425" s="151"/>
      <c r="B425" s="146" t="str">
        <f t="shared" si="35"/>
        <v/>
      </c>
      <c r="C425" s="151"/>
      <c r="D425" s="146" t="str">
        <f t="shared" si="36"/>
        <v/>
      </c>
      <c r="E425" s="186"/>
      <c r="F425" s="146" t="str">
        <f t="shared" si="37"/>
        <v/>
      </c>
      <c r="G425" s="185"/>
      <c r="H425" s="185"/>
      <c r="I425" s="185"/>
      <c r="J425" s="201"/>
      <c r="K425" s="200"/>
      <c r="L425" s="200"/>
      <c r="M425" s="201"/>
      <c r="N425" s="201"/>
      <c r="P425" s="141" t="str">
        <f t="shared" si="38"/>
        <v/>
      </c>
      <c r="Q425" s="141" t="str">
        <f t="shared" si="39"/>
        <v/>
      </c>
      <c r="AA425" s="141" t="s">
        <v>1985</v>
      </c>
      <c r="AB425" s="141" t="s">
        <v>1986</v>
      </c>
    </row>
    <row r="426" spans="1:28">
      <c r="A426" s="151"/>
      <c r="B426" s="146" t="str">
        <f t="shared" si="35"/>
        <v/>
      </c>
      <c r="C426" s="151"/>
      <c r="D426" s="146" t="str">
        <f t="shared" si="36"/>
        <v/>
      </c>
      <c r="E426" s="186"/>
      <c r="F426" s="146" t="str">
        <f t="shared" si="37"/>
        <v/>
      </c>
      <c r="G426" s="185"/>
      <c r="H426" s="185"/>
      <c r="I426" s="185"/>
      <c r="J426" s="201"/>
      <c r="K426" s="200"/>
      <c r="L426" s="200"/>
      <c r="M426" s="201"/>
      <c r="N426" s="201"/>
      <c r="P426" s="141" t="str">
        <f t="shared" si="38"/>
        <v/>
      </c>
      <c r="Q426" s="141" t="str">
        <f t="shared" si="39"/>
        <v/>
      </c>
      <c r="AA426" s="141" t="s">
        <v>1987</v>
      </c>
      <c r="AB426" s="141" t="s">
        <v>1988</v>
      </c>
    </row>
    <row r="427" spans="1:28">
      <c r="A427" s="151"/>
      <c r="B427" s="146" t="str">
        <f t="shared" si="35"/>
        <v/>
      </c>
      <c r="C427" s="151"/>
      <c r="D427" s="146" t="str">
        <f t="shared" si="36"/>
        <v/>
      </c>
      <c r="E427" s="186"/>
      <c r="F427" s="146" t="str">
        <f t="shared" si="37"/>
        <v/>
      </c>
      <c r="G427" s="185"/>
      <c r="H427" s="185"/>
      <c r="I427" s="185"/>
      <c r="J427" s="201"/>
      <c r="K427" s="200"/>
      <c r="L427" s="200"/>
      <c r="M427" s="201"/>
      <c r="N427" s="201"/>
      <c r="P427" s="141" t="str">
        <f t="shared" si="38"/>
        <v/>
      </c>
      <c r="Q427" s="141" t="str">
        <f t="shared" si="39"/>
        <v/>
      </c>
      <c r="AA427" s="141" t="s">
        <v>1989</v>
      </c>
      <c r="AB427" s="141" t="s">
        <v>1990</v>
      </c>
    </row>
    <row r="428" spans="1:28">
      <c r="A428" s="151"/>
      <c r="B428" s="146" t="str">
        <f t="shared" si="35"/>
        <v/>
      </c>
      <c r="C428" s="151"/>
      <c r="D428" s="146" t="str">
        <f t="shared" si="36"/>
        <v/>
      </c>
      <c r="E428" s="186"/>
      <c r="F428" s="146" t="str">
        <f t="shared" si="37"/>
        <v/>
      </c>
      <c r="G428" s="185"/>
      <c r="H428" s="185"/>
      <c r="I428" s="185"/>
      <c r="J428" s="201"/>
      <c r="K428" s="200"/>
      <c r="L428" s="200"/>
      <c r="M428" s="201"/>
      <c r="N428" s="201"/>
      <c r="P428" s="141" t="str">
        <f t="shared" si="38"/>
        <v/>
      </c>
      <c r="Q428" s="141" t="str">
        <f t="shared" si="39"/>
        <v/>
      </c>
      <c r="AA428" s="141" t="s">
        <v>1991</v>
      </c>
      <c r="AB428" s="141" t="s">
        <v>1992</v>
      </c>
    </row>
    <row r="429" spans="1:28">
      <c r="A429" s="151"/>
      <c r="B429" s="146" t="str">
        <f t="shared" si="35"/>
        <v/>
      </c>
      <c r="C429" s="151"/>
      <c r="D429" s="146" t="str">
        <f t="shared" si="36"/>
        <v/>
      </c>
      <c r="E429" s="186"/>
      <c r="F429" s="146" t="str">
        <f t="shared" si="37"/>
        <v/>
      </c>
      <c r="G429" s="185"/>
      <c r="H429" s="185"/>
      <c r="I429" s="185"/>
      <c r="J429" s="201"/>
      <c r="K429" s="200"/>
      <c r="L429" s="200"/>
      <c r="M429" s="201"/>
      <c r="N429" s="201"/>
      <c r="P429" s="141" t="str">
        <f t="shared" si="38"/>
        <v/>
      </c>
      <c r="Q429" s="141" t="str">
        <f t="shared" si="39"/>
        <v/>
      </c>
      <c r="AA429" s="141" t="s">
        <v>1993</v>
      </c>
      <c r="AB429" s="141" t="s">
        <v>1994</v>
      </c>
    </row>
    <row r="430" spans="1:28">
      <c r="A430" s="151"/>
      <c r="B430" s="146" t="str">
        <f t="shared" si="35"/>
        <v/>
      </c>
      <c r="C430" s="151"/>
      <c r="D430" s="146" t="str">
        <f t="shared" si="36"/>
        <v/>
      </c>
      <c r="E430" s="186"/>
      <c r="F430" s="146" t="str">
        <f t="shared" si="37"/>
        <v/>
      </c>
      <c r="G430" s="185"/>
      <c r="H430" s="185"/>
      <c r="I430" s="185"/>
      <c r="J430" s="201"/>
      <c r="K430" s="200"/>
      <c r="L430" s="200"/>
      <c r="M430" s="201"/>
      <c r="N430" s="201"/>
      <c r="P430" s="141" t="str">
        <f t="shared" si="38"/>
        <v/>
      </c>
      <c r="Q430" s="141" t="str">
        <f t="shared" si="39"/>
        <v/>
      </c>
      <c r="AA430" s="141" t="s">
        <v>1995</v>
      </c>
      <c r="AB430" s="141" t="s">
        <v>1996</v>
      </c>
    </row>
    <row r="431" spans="1:28">
      <c r="A431" s="151"/>
      <c r="B431" s="146" t="str">
        <f t="shared" si="35"/>
        <v/>
      </c>
      <c r="C431" s="151"/>
      <c r="D431" s="146" t="str">
        <f t="shared" si="36"/>
        <v/>
      </c>
      <c r="E431" s="186"/>
      <c r="F431" s="146" t="str">
        <f t="shared" si="37"/>
        <v/>
      </c>
      <c r="G431" s="185"/>
      <c r="H431" s="185"/>
      <c r="I431" s="185"/>
      <c r="J431" s="201"/>
      <c r="K431" s="200"/>
      <c r="L431" s="200"/>
      <c r="M431" s="201"/>
      <c r="N431" s="201"/>
      <c r="P431" s="141" t="str">
        <f t="shared" si="38"/>
        <v/>
      </c>
      <c r="Q431" s="141" t="str">
        <f t="shared" si="39"/>
        <v/>
      </c>
      <c r="AA431" s="141" t="s">
        <v>1997</v>
      </c>
      <c r="AB431" s="141" t="s">
        <v>1998</v>
      </c>
    </row>
    <row r="432" spans="1:28">
      <c r="A432" s="151"/>
      <c r="B432" s="146" t="str">
        <f t="shared" si="35"/>
        <v/>
      </c>
      <c r="C432" s="151"/>
      <c r="D432" s="146" t="str">
        <f t="shared" si="36"/>
        <v/>
      </c>
      <c r="E432" s="186"/>
      <c r="F432" s="146" t="str">
        <f t="shared" si="37"/>
        <v/>
      </c>
      <c r="G432" s="185"/>
      <c r="H432" s="185"/>
      <c r="I432" s="185"/>
      <c r="J432" s="201"/>
      <c r="K432" s="200"/>
      <c r="L432" s="200"/>
      <c r="M432" s="201"/>
      <c r="N432" s="201"/>
      <c r="P432" s="141" t="str">
        <f t="shared" si="38"/>
        <v/>
      </c>
      <c r="Q432" s="141" t="str">
        <f t="shared" si="39"/>
        <v/>
      </c>
      <c r="AA432" s="141" t="s">
        <v>1999</v>
      </c>
      <c r="AB432" s="141" t="s">
        <v>2000</v>
      </c>
    </row>
    <row r="433" spans="1:28">
      <c r="A433" s="151"/>
      <c r="B433" s="146" t="str">
        <f t="shared" si="35"/>
        <v/>
      </c>
      <c r="C433" s="151"/>
      <c r="D433" s="146" t="str">
        <f t="shared" si="36"/>
        <v/>
      </c>
      <c r="E433" s="186"/>
      <c r="F433" s="146" t="str">
        <f t="shared" si="37"/>
        <v/>
      </c>
      <c r="G433" s="185"/>
      <c r="H433" s="185"/>
      <c r="I433" s="185"/>
      <c r="J433" s="201"/>
      <c r="K433" s="200"/>
      <c r="L433" s="200"/>
      <c r="M433" s="201"/>
      <c r="N433" s="201"/>
      <c r="P433" s="141" t="str">
        <f t="shared" si="38"/>
        <v/>
      </c>
      <c r="Q433" s="141" t="str">
        <f t="shared" si="39"/>
        <v/>
      </c>
      <c r="AA433" s="141" t="s">
        <v>2001</v>
      </c>
      <c r="AB433" s="141" t="s">
        <v>2002</v>
      </c>
    </row>
    <row r="434" spans="1:28">
      <c r="A434" s="151"/>
      <c r="B434" s="146" t="str">
        <f t="shared" si="35"/>
        <v/>
      </c>
      <c r="C434" s="151"/>
      <c r="D434" s="146" t="str">
        <f t="shared" si="36"/>
        <v/>
      </c>
      <c r="E434" s="186"/>
      <c r="F434" s="146" t="str">
        <f t="shared" si="37"/>
        <v/>
      </c>
      <c r="G434" s="185"/>
      <c r="H434" s="185"/>
      <c r="I434" s="185"/>
      <c r="J434" s="201"/>
      <c r="K434" s="200"/>
      <c r="L434" s="200"/>
      <c r="M434" s="201"/>
      <c r="N434" s="201"/>
      <c r="P434" s="141" t="str">
        <f t="shared" si="38"/>
        <v/>
      </c>
      <c r="Q434" s="141" t="str">
        <f t="shared" si="39"/>
        <v/>
      </c>
      <c r="AA434" s="141" t="s">
        <v>2003</v>
      </c>
      <c r="AB434" s="141" t="s">
        <v>2004</v>
      </c>
    </row>
    <row r="435" spans="1:28">
      <c r="A435" s="151"/>
      <c r="B435" s="146" t="str">
        <f t="shared" si="35"/>
        <v/>
      </c>
      <c r="C435" s="151"/>
      <c r="D435" s="146" t="str">
        <f t="shared" si="36"/>
        <v/>
      </c>
      <c r="E435" s="186"/>
      <c r="F435" s="146" t="str">
        <f t="shared" si="37"/>
        <v/>
      </c>
      <c r="G435" s="185"/>
      <c r="H435" s="185"/>
      <c r="I435" s="185"/>
      <c r="J435" s="201"/>
      <c r="K435" s="200"/>
      <c r="L435" s="200"/>
      <c r="M435" s="201"/>
      <c r="N435" s="201"/>
      <c r="P435" s="141" t="str">
        <f t="shared" si="38"/>
        <v/>
      </c>
      <c r="Q435" s="141" t="str">
        <f t="shared" si="39"/>
        <v/>
      </c>
      <c r="AA435" s="141" t="s">
        <v>2005</v>
      </c>
      <c r="AB435" s="141" t="s">
        <v>2006</v>
      </c>
    </row>
    <row r="436" spans="1:28">
      <c r="A436" s="151"/>
      <c r="B436" s="146" t="str">
        <f t="shared" si="35"/>
        <v/>
      </c>
      <c r="C436" s="151"/>
      <c r="D436" s="146" t="str">
        <f t="shared" si="36"/>
        <v/>
      </c>
      <c r="E436" s="186"/>
      <c r="F436" s="146" t="str">
        <f t="shared" si="37"/>
        <v/>
      </c>
      <c r="G436" s="185"/>
      <c r="H436" s="185"/>
      <c r="I436" s="185"/>
      <c r="J436" s="201"/>
      <c r="K436" s="200"/>
      <c r="L436" s="200"/>
      <c r="M436" s="201"/>
      <c r="N436" s="201"/>
      <c r="P436" s="141" t="str">
        <f t="shared" si="38"/>
        <v/>
      </c>
      <c r="Q436" s="141" t="str">
        <f t="shared" si="39"/>
        <v/>
      </c>
      <c r="AA436" s="141" t="s">
        <v>2007</v>
      </c>
      <c r="AB436" s="141" t="s">
        <v>2008</v>
      </c>
    </row>
    <row r="437" spans="1:28">
      <c r="A437" s="151"/>
      <c r="B437" s="146" t="str">
        <f t="shared" si="35"/>
        <v/>
      </c>
      <c r="C437" s="151"/>
      <c r="D437" s="146" t="str">
        <f t="shared" si="36"/>
        <v/>
      </c>
      <c r="E437" s="186"/>
      <c r="F437" s="146" t="str">
        <f t="shared" si="37"/>
        <v/>
      </c>
      <c r="G437" s="185"/>
      <c r="H437" s="185"/>
      <c r="I437" s="185"/>
      <c r="J437" s="201"/>
      <c r="K437" s="200"/>
      <c r="L437" s="200"/>
      <c r="M437" s="201"/>
      <c r="N437" s="201"/>
      <c r="P437" s="141" t="str">
        <f t="shared" si="38"/>
        <v/>
      </c>
      <c r="Q437" s="141" t="str">
        <f t="shared" si="39"/>
        <v/>
      </c>
      <c r="AA437" s="141" t="s">
        <v>2009</v>
      </c>
      <c r="AB437" s="141" t="s">
        <v>2010</v>
      </c>
    </row>
    <row r="438" spans="1:28">
      <c r="A438" s="151"/>
      <c r="B438" s="146" t="str">
        <f t="shared" si="35"/>
        <v/>
      </c>
      <c r="C438" s="151"/>
      <c r="D438" s="146" t="str">
        <f t="shared" si="36"/>
        <v/>
      </c>
      <c r="E438" s="186"/>
      <c r="F438" s="146" t="str">
        <f t="shared" si="37"/>
        <v/>
      </c>
      <c r="G438" s="185"/>
      <c r="H438" s="185"/>
      <c r="I438" s="185"/>
      <c r="J438" s="201"/>
      <c r="K438" s="200"/>
      <c r="L438" s="200"/>
      <c r="M438" s="201"/>
      <c r="N438" s="201"/>
      <c r="P438" s="141" t="str">
        <f t="shared" si="38"/>
        <v/>
      </c>
      <c r="Q438" s="141" t="str">
        <f t="shared" si="39"/>
        <v/>
      </c>
      <c r="AA438" s="141" t="s">
        <v>2011</v>
      </c>
      <c r="AB438" s="141" t="s">
        <v>2012</v>
      </c>
    </row>
    <row r="439" spans="1:28">
      <c r="A439" s="151"/>
      <c r="B439" s="146" t="str">
        <f t="shared" si="35"/>
        <v/>
      </c>
      <c r="C439" s="151"/>
      <c r="D439" s="146" t="str">
        <f t="shared" si="36"/>
        <v/>
      </c>
      <c r="E439" s="186"/>
      <c r="F439" s="146" t="str">
        <f t="shared" si="37"/>
        <v/>
      </c>
      <c r="G439" s="185"/>
      <c r="H439" s="185"/>
      <c r="I439" s="185"/>
      <c r="J439" s="201"/>
      <c r="K439" s="200"/>
      <c r="L439" s="200"/>
      <c r="M439" s="201"/>
      <c r="N439" s="201"/>
      <c r="P439" s="141" t="str">
        <f t="shared" si="38"/>
        <v/>
      </c>
      <c r="Q439" s="141" t="str">
        <f t="shared" si="39"/>
        <v/>
      </c>
      <c r="AA439" s="141" t="s">
        <v>2013</v>
      </c>
      <c r="AB439" s="141" t="s">
        <v>2014</v>
      </c>
    </row>
    <row r="440" spans="1:28">
      <c r="A440" s="151"/>
      <c r="B440" s="146" t="str">
        <f t="shared" si="35"/>
        <v/>
      </c>
      <c r="C440" s="151"/>
      <c r="D440" s="146" t="str">
        <f t="shared" si="36"/>
        <v/>
      </c>
      <c r="E440" s="186"/>
      <c r="F440" s="146" t="str">
        <f t="shared" si="37"/>
        <v/>
      </c>
      <c r="G440" s="185"/>
      <c r="H440" s="185"/>
      <c r="I440" s="185"/>
      <c r="J440" s="201"/>
      <c r="K440" s="200"/>
      <c r="L440" s="200"/>
      <c r="M440" s="201"/>
      <c r="N440" s="201"/>
      <c r="P440" s="141" t="str">
        <f t="shared" si="38"/>
        <v/>
      </c>
      <c r="Q440" s="141" t="str">
        <f t="shared" si="39"/>
        <v/>
      </c>
      <c r="AA440" s="141" t="s">
        <v>2015</v>
      </c>
      <c r="AB440" s="141" t="s">
        <v>2016</v>
      </c>
    </row>
    <row r="441" spans="1:28">
      <c r="A441" s="151"/>
      <c r="B441" s="146" t="str">
        <f t="shared" si="35"/>
        <v/>
      </c>
      <c r="C441" s="151"/>
      <c r="D441" s="146" t="str">
        <f t="shared" si="36"/>
        <v/>
      </c>
      <c r="E441" s="186"/>
      <c r="F441" s="146" t="str">
        <f t="shared" si="37"/>
        <v/>
      </c>
      <c r="G441" s="185"/>
      <c r="H441" s="185"/>
      <c r="I441" s="185"/>
      <c r="J441" s="201"/>
      <c r="K441" s="200"/>
      <c r="L441" s="200"/>
      <c r="M441" s="201"/>
      <c r="N441" s="201"/>
      <c r="P441" s="141" t="str">
        <f t="shared" si="38"/>
        <v/>
      </c>
      <c r="Q441" s="141" t="str">
        <f t="shared" si="39"/>
        <v/>
      </c>
      <c r="AA441" s="141" t="s">
        <v>2017</v>
      </c>
      <c r="AB441" s="141" t="s">
        <v>2018</v>
      </c>
    </row>
    <row r="442" spans="1:28">
      <c r="A442" s="151"/>
      <c r="B442" s="146" t="str">
        <f t="shared" si="35"/>
        <v/>
      </c>
      <c r="C442" s="151"/>
      <c r="D442" s="146" t="str">
        <f t="shared" si="36"/>
        <v/>
      </c>
      <c r="E442" s="186"/>
      <c r="F442" s="146" t="str">
        <f t="shared" si="37"/>
        <v/>
      </c>
      <c r="G442" s="185"/>
      <c r="H442" s="185"/>
      <c r="I442" s="185"/>
      <c r="J442" s="201"/>
      <c r="K442" s="200"/>
      <c r="L442" s="200"/>
      <c r="M442" s="201"/>
      <c r="N442" s="201"/>
      <c r="P442" s="141" t="str">
        <f t="shared" si="38"/>
        <v/>
      </c>
      <c r="Q442" s="141" t="str">
        <f t="shared" si="39"/>
        <v/>
      </c>
      <c r="AA442" s="141" t="s">
        <v>2019</v>
      </c>
      <c r="AB442" s="141" t="s">
        <v>2020</v>
      </c>
    </row>
    <row r="443" spans="1:28">
      <c r="A443" s="151"/>
      <c r="B443" s="146" t="str">
        <f t="shared" si="35"/>
        <v/>
      </c>
      <c r="C443" s="151"/>
      <c r="D443" s="146" t="str">
        <f t="shared" si="36"/>
        <v/>
      </c>
      <c r="E443" s="186"/>
      <c r="F443" s="146" t="str">
        <f t="shared" si="37"/>
        <v/>
      </c>
      <c r="G443" s="185"/>
      <c r="H443" s="185"/>
      <c r="I443" s="185"/>
      <c r="J443" s="201"/>
      <c r="K443" s="200"/>
      <c r="L443" s="200"/>
      <c r="M443" s="201"/>
      <c r="N443" s="201"/>
      <c r="P443" s="141" t="str">
        <f t="shared" si="38"/>
        <v/>
      </c>
      <c r="Q443" s="141" t="str">
        <f t="shared" si="39"/>
        <v/>
      </c>
      <c r="AA443" s="141" t="s">
        <v>2021</v>
      </c>
      <c r="AB443" s="141" t="s">
        <v>2022</v>
      </c>
    </row>
    <row r="444" spans="1:28">
      <c r="A444" s="151"/>
      <c r="B444" s="146" t="str">
        <f t="shared" si="35"/>
        <v/>
      </c>
      <c r="C444" s="151"/>
      <c r="D444" s="146" t="str">
        <f t="shared" si="36"/>
        <v/>
      </c>
      <c r="E444" s="186"/>
      <c r="F444" s="146" t="str">
        <f t="shared" si="37"/>
        <v/>
      </c>
      <c r="G444" s="185"/>
      <c r="H444" s="185"/>
      <c r="I444" s="185"/>
      <c r="J444" s="201"/>
      <c r="K444" s="200"/>
      <c r="L444" s="200"/>
      <c r="M444" s="201"/>
      <c r="N444" s="201"/>
      <c r="P444" s="141" t="str">
        <f t="shared" si="38"/>
        <v/>
      </c>
      <c r="Q444" s="141" t="str">
        <f t="shared" si="39"/>
        <v/>
      </c>
      <c r="AA444" s="141" t="s">
        <v>1190</v>
      </c>
      <c r="AB444" s="141" t="s">
        <v>347</v>
      </c>
    </row>
    <row r="445" spans="1:28">
      <c r="A445" s="151"/>
      <c r="B445" s="146" t="str">
        <f t="shared" si="35"/>
        <v/>
      </c>
      <c r="C445" s="151"/>
      <c r="D445" s="146" t="str">
        <f t="shared" si="36"/>
        <v/>
      </c>
      <c r="E445" s="186"/>
      <c r="F445" s="146" t="str">
        <f t="shared" si="37"/>
        <v/>
      </c>
      <c r="G445" s="185"/>
      <c r="H445" s="185"/>
      <c r="I445" s="185"/>
      <c r="J445" s="201"/>
      <c r="K445" s="200"/>
      <c r="L445" s="200"/>
      <c r="M445" s="201"/>
      <c r="N445" s="201"/>
      <c r="P445" s="141" t="str">
        <f t="shared" si="38"/>
        <v/>
      </c>
      <c r="Q445" s="141" t="str">
        <f t="shared" si="39"/>
        <v/>
      </c>
      <c r="AA445" s="141" t="s">
        <v>1191</v>
      </c>
      <c r="AB445" s="141" t="s">
        <v>348</v>
      </c>
    </row>
    <row r="446" spans="1:28">
      <c r="A446" s="151"/>
      <c r="B446" s="146" t="str">
        <f t="shared" si="35"/>
        <v/>
      </c>
      <c r="C446" s="151"/>
      <c r="D446" s="146" t="str">
        <f t="shared" si="36"/>
        <v/>
      </c>
      <c r="E446" s="186"/>
      <c r="F446" s="146" t="str">
        <f t="shared" si="37"/>
        <v/>
      </c>
      <c r="G446" s="185"/>
      <c r="H446" s="185"/>
      <c r="I446" s="185"/>
      <c r="J446" s="201"/>
      <c r="K446" s="200"/>
      <c r="L446" s="200"/>
      <c r="M446" s="201"/>
      <c r="N446" s="201"/>
      <c r="P446" s="141" t="str">
        <f t="shared" si="38"/>
        <v/>
      </c>
      <c r="Q446" s="141" t="str">
        <f t="shared" si="39"/>
        <v/>
      </c>
      <c r="AA446" s="141" t="s">
        <v>1192</v>
      </c>
      <c r="AB446" s="141" t="s">
        <v>1193</v>
      </c>
    </row>
    <row r="447" spans="1:28">
      <c r="A447" s="151"/>
      <c r="B447" s="146" t="str">
        <f t="shared" si="35"/>
        <v/>
      </c>
      <c r="C447" s="151"/>
      <c r="D447" s="146" t="str">
        <f t="shared" si="36"/>
        <v/>
      </c>
      <c r="E447" s="186"/>
      <c r="F447" s="146" t="str">
        <f t="shared" si="37"/>
        <v/>
      </c>
      <c r="G447" s="185"/>
      <c r="H447" s="185"/>
      <c r="I447" s="185"/>
      <c r="J447" s="201"/>
      <c r="K447" s="200"/>
      <c r="L447" s="200"/>
      <c r="M447" s="201"/>
      <c r="N447" s="201"/>
      <c r="P447" s="141" t="str">
        <f t="shared" si="38"/>
        <v/>
      </c>
      <c r="Q447" s="141" t="str">
        <f t="shared" si="39"/>
        <v/>
      </c>
      <c r="AA447" s="141" t="s">
        <v>1194</v>
      </c>
      <c r="AB447" s="141" t="s">
        <v>1111</v>
      </c>
    </row>
    <row r="448" spans="1:28">
      <c r="A448" s="151"/>
      <c r="B448" s="146" t="str">
        <f t="shared" si="35"/>
        <v/>
      </c>
      <c r="C448" s="151"/>
      <c r="D448" s="146" t="str">
        <f t="shared" si="36"/>
        <v/>
      </c>
      <c r="E448" s="186"/>
      <c r="F448" s="146" t="str">
        <f t="shared" si="37"/>
        <v/>
      </c>
      <c r="G448" s="185"/>
      <c r="H448" s="185"/>
      <c r="I448" s="185"/>
      <c r="J448" s="201"/>
      <c r="K448" s="200"/>
      <c r="L448" s="200"/>
      <c r="M448" s="201"/>
      <c r="N448" s="201"/>
      <c r="P448" s="141" t="str">
        <f t="shared" si="38"/>
        <v/>
      </c>
      <c r="Q448" s="141" t="str">
        <f t="shared" si="39"/>
        <v/>
      </c>
      <c r="AA448" s="141" t="s">
        <v>2023</v>
      </c>
    </row>
    <row r="449" spans="1:28">
      <c r="A449" s="151"/>
      <c r="B449" s="146" t="str">
        <f t="shared" si="35"/>
        <v/>
      </c>
      <c r="C449" s="151"/>
      <c r="D449" s="146" t="str">
        <f t="shared" si="36"/>
        <v/>
      </c>
      <c r="E449" s="186"/>
      <c r="F449" s="146" t="str">
        <f t="shared" si="37"/>
        <v/>
      </c>
      <c r="G449" s="185"/>
      <c r="H449" s="185"/>
      <c r="I449" s="185"/>
      <c r="J449" s="201"/>
      <c r="K449" s="200"/>
      <c r="L449" s="200"/>
      <c r="M449" s="201"/>
      <c r="N449" s="201"/>
      <c r="P449" s="141" t="str">
        <f t="shared" si="38"/>
        <v/>
      </c>
      <c r="Q449" s="141" t="str">
        <f t="shared" si="39"/>
        <v/>
      </c>
      <c r="AA449" s="141" t="s">
        <v>2024</v>
      </c>
    </row>
    <row r="450" spans="1:28">
      <c r="A450" s="151"/>
      <c r="B450" s="146" t="str">
        <f t="shared" si="35"/>
        <v/>
      </c>
      <c r="C450" s="151"/>
      <c r="D450" s="146" t="str">
        <f t="shared" si="36"/>
        <v/>
      </c>
      <c r="E450" s="186"/>
      <c r="F450" s="146" t="str">
        <f t="shared" si="37"/>
        <v/>
      </c>
      <c r="G450" s="185"/>
      <c r="H450" s="185"/>
      <c r="I450" s="185"/>
      <c r="J450" s="201"/>
      <c r="K450" s="200"/>
      <c r="L450" s="200"/>
      <c r="M450" s="201"/>
      <c r="N450" s="201"/>
      <c r="P450" s="141" t="str">
        <f t="shared" si="38"/>
        <v/>
      </c>
      <c r="Q450" s="141" t="str">
        <f t="shared" si="39"/>
        <v/>
      </c>
      <c r="AA450" s="141" t="s">
        <v>2025</v>
      </c>
      <c r="AB450" s="141" t="s">
        <v>2026</v>
      </c>
    </row>
    <row r="451" spans="1:28">
      <c r="A451" s="151"/>
      <c r="B451" s="146" t="str">
        <f t="shared" si="35"/>
        <v/>
      </c>
      <c r="C451" s="151"/>
      <c r="D451" s="146" t="str">
        <f t="shared" si="36"/>
        <v/>
      </c>
      <c r="E451" s="186"/>
      <c r="F451" s="146" t="str">
        <f t="shared" si="37"/>
        <v/>
      </c>
      <c r="G451" s="185"/>
      <c r="H451" s="185"/>
      <c r="I451" s="185"/>
      <c r="J451" s="201"/>
      <c r="K451" s="200"/>
      <c r="L451" s="200"/>
      <c r="M451" s="201"/>
      <c r="N451" s="201"/>
      <c r="P451" s="141" t="str">
        <f t="shared" si="38"/>
        <v/>
      </c>
      <c r="Q451" s="141" t="str">
        <f t="shared" si="39"/>
        <v/>
      </c>
      <c r="AA451" s="141" t="s">
        <v>2027</v>
      </c>
      <c r="AB451" s="141" t="s">
        <v>1495</v>
      </c>
    </row>
    <row r="452" spans="1:28">
      <c r="A452" s="151"/>
      <c r="B452" s="146" t="str">
        <f t="shared" ref="B452:B501" si="40">IFERROR(VLOOKUP(A452,$R$6:$S$23,2,FALSE),"")</f>
        <v/>
      </c>
      <c r="C452" s="151"/>
      <c r="D452" s="146" t="str">
        <f t="shared" ref="D452:D501" si="41">IFERROR(VLOOKUP(C452,$U$5:$W$129,2,FALSE),"")</f>
        <v/>
      </c>
      <c r="E452" s="186"/>
      <c r="F452" s="146" t="str">
        <f t="shared" ref="F452:F501" si="42">IFERROR(VLOOKUP(E452,$AA$5:$AB$500,2,FALSE),"")</f>
        <v/>
      </c>
      <c r="G452" s="185"/>
      <c r="H452" s="185"/>
      <c r="I452" s="185"/>
      <c r="J452" s="201"/>
      <c r="K452" s="200"/>
      <c r="L452" s="200"/>
      <c r="M452" s="201"/>
      <c r="N452" s="201"/>
      <c r="P452" s="141" t="str">
        <f t="shared" ref="P452:P501" si="43">LEFT(C452,3)</f>
        <v/>
      </c>
      <c r="Q452" s="141" t="str">
        <f t="shared" ref="Q452:Q501" si="44">LEFT(C452,2)</f>
        <v/>
      </c>
      <c r="AA452" s="141" t="s">
        <v>1509</v>
      </c>
      <c r="AB452" s="141" t="s">
        <v>1510</v>
      </c>
    </row>
    <row r="453" spans="1:28">
      <c r="A453" s="151"/>
      <c r="B453" s="146" t="str">
        <f t="shared" si="40"/>
        <v/>
      </c>
      <c r="C453" s="151"/>
      <c r="D453" s="146" t="str">
        <f t="shared" si="41"/>
        <v/>
      </c>
      <c r="E453" s="186"/>
      <c r="F453" s="146" t="str">
        <f t="shared" si="42"/>
        <v/>
      </c>
      <c r="G453" s="185"/>
      <c r="H453" s="185"/>
      <c r="I453" s="185"/>
      <c r="J453" s="201"/>
      <c r="K453" s="200"/>
      <c r="L453" s="200"/>
      <c r="M453" s="201"/>
      <c r="N453" s="201"/>
      <c r="P453" s="141" t="str">
        <f t="shared" si="43"/>
        <v/>
      </c>
      <c r="Q453" s="141" t="str">
        <f t="shared" si="44"/>
        <v/>
      </c>
      <c r="AA453" s="141" t="s">
        <v>1511</v>
      </c>
      <c r="AB453" s="141" t="s">
        <v>1512</v>
      </c>
    </row>
    <row r="454" spans="1:28">
      <c r="A454" s="151"/>
      <c r="B454" s="146" t="str">
        <f t="shared" si="40"/>
        <v/>
      </c>
      <c r="C454" s="151"/>
      <c r="D454" s="146" t="str">
        <f t="shared" si="41"/>
        <v/>
      </c>
      <c r="E454" s="186"/>
      <c r="F454" s="146" t="str">
        <f t="shared" si="42"/>
        <v/>
      </c>
      <c r="G454" s="185"/>
      <c r="H454" s="185"/>
      <c r="I454" s="185"/>
      <c r="J454" s="201"/>
      <c r="K454" s="200"/>
      <c r="L454" s="200"/>
      <c r="M454" s="201"/>
      <c r="N454" s="201"/>
      <c r="P454" s="141" t="str">
        <f t="shared" si="43"/>
        <v/>
      </c>
      <c r="Q454" s="141" t="str">
        <f t="shared" si="44"/>
        <v/>
      </c>
      <c r="AA454" s="141" t="s">
        <v>1513</v>
      </c>
      <c r="AB454" s="141" t="s">
        <v>1514</v>
      </c>
    </row>
    <row r="455" spans="1:28">
      <c r="A455" s="151"/>
      <c r="B455" s="146" t="str">
        <f t="shared" si="40"/>
        <v/>
      </c>
      <c r="C455" s="151"/>
      <c r="D455" s="146" t="str">
        <f t="shared" si="41"/>
        <v/>
      </c>
      <c r="E455" s="186"/>
      <c r="F455" s="146" t="str">
        <f t="shared" si="42"/>
        <v/>
      </c>
      <c r="G455" s="185"/>
      <c r="H455" s="185"/>
      <c r="I455" s="185"/>
      <c r="J455" s="201"/>
      <c r="K455" s="200"/>
      <c r="L455" s="200"/>
      <c r="M455" s="201"/>
      <c r="N455" s="201"/>
      <c r="P455" s="141" t="str">
        <f t="shared" si="43"/>
        <v/>
      </c>
      <c r="Q455" s="141" t="str">
        <f t="shared" si="44"/>
        <v/>
      </c>
      <c r="AA455" s="141" t="s">
        <v>1515</v>
      </c>
      <c r="AB455" s="141" t="s">
        <v>1516</v>
      </c>
    </row>
    <row r="456" spans="1:28">
      <c r="A456" s="151"/>
      <c r="B456" s="146" t="str">
        <f t="shared" si="40"/>
        <v/>
      </c>
      <c r="C456" s="151"/>
      <c r="D456" s="146" t="str">
        <f t="shared" si="41"/>
        <v/>
      </c>
      <c r="E456" s="186"/>
      <c r="F456" s="146" t="str">
        <f t="shared" si="42"/>
        <v/>
      </c>
      <c r="G456" s="185"/>
      <c r="H456" s="185"/>
      <c r="I456" s="185"/>
      <c r="J456" s="201"/>
      <c r="K456" s="200"/>
      <c r="L456" s="200"/>
      <c r="M456" s="201"/>
      <c r="N456" s="201"/>
      <c r="P456" s="141" t="str">
        <f t="shared" si="43"/>
        <v/>
      </c>
      <c r="Q456" s="141" t="str">
        <f t="shared" si="44"/>
        <v/>
      </c>
      <c r="AA456" s="141" t="s">
        <v>1517</v>
      </c>
      <c r="AB456" s="141" t="s">
        <v>1518</v>
      </c>
    </row>
    <row r="457" spans="1:28">
      <c r="A457" s="151"/>
      <c r="B457" s="146" t="str">
        <f t="shared" si="40"/>
        <v/>
      </c>
      <c r="C457" s="151"/>
      <c r="D457" s="146" t="str">
        <f t="shared" si="41"/>
        <v/>
      </c>
      <c r="E457" s="186"/>
      <c r="F457" s="146" t="str">
        <f t="shared" si="42"/>
        <v/>
      </c>
      <c r="G457" s="185"/>
      <c r="H457" s="185"/>
      <c r="I457" s="185"/>
      <c r="J457" s="201"/>
      <c r="K457" s="200"/>
      <c r="L457" s="200"/>
      <c r="M457" s="201"/>
      <c r="N457" s="201"/>
      <c r="P457" s="141" t="str">
        <f t="shared" si="43"/>
        <v/>
      </c>
      <c r="Q457" s="141" t="str">
        <f t="shared" si="44"/>
        <v/>
      </c>
      <c r="AA457" s="141" t="s">
        <v>1519</v>
      </c>
      <c r="AB457" s="141" t="s">
        <v>1520</v>
      </c>
    </row>
    <row r="458" spans="1:28">
      <c r="A458" s="151"/>
      <c r="B458" s="146" t="str">
        <f t="shared" si="40"/>
        <v/>
      </c>
      <c r="C458" s="151"/>
      <c r="D458" s="146" t="str">
        <f t="shared" si="41"/>
        <v/>
      </c>
      <c r="E458" s="186"/>
      <c r="F458" s="146" t="str">
        <f t="shared" si="42"/>
        <v/>
      </c>
      <c r="G458" s="185"/>
      <c r="H458" s="185"/>
      <c r="I458" s="185"/>
      <c r="J458" s="201"/>
      <c r="K458" s="200"/>
      <c r="L458" s="200"/>
      <c r="M458" s="201"/>
      <c r="N458" s="201"/>
      <c r="P458" s="141" t="str">
        <f t="shared" si="43"/>
        <v/>
      </c>
      <c r="Q458" s="141" t="str">
        <f t="shared" si="44"/>
        <v/>
      </c>
      <c r="AA458" s="141" t="s">
        <v>1521</v>
      </c>
      <c r="AB458" s="141" t="s">
        <v>1522</v>
      </c>
    </row>
    <row r="459" spans="1:28">
      <c r="A459" s="151"/>
      <c r="B459" s="146" t="str">
        <f t="shared" si="40"/>
        <v/>
      </c>
      <c r="C459" s="151"/>
      <c r="D459" s="146" t="str">
        <f t="shared" si="41"/>
        <v/>
      </c>
      <c r="E459" s="186"/>
      <c r="F459" s="146" t="str">
        <f t="shared" si="42"/>
        <v/>
      </c>
      <c r="G459" s="185"/>
      <c r="H459" s="185"/>
      <c r="I459" s="185"/>
      <c r="J459" s="201"/>
      <c r="K459" s="200"/>
      <c r="L459" s="200"/>
      <c r="M459" s="201"/>
      <c r="N459" s="201"/>
      <c r="P459" s="141" t="str">
        <f t="shared" si="43"/>
        <v/>
      </c>
      <c r="Q459" s="141" t="str">
        <f t="shared" si="44"/>
        <v/>
      </c>
      <c r="AA459" s="141" t="s">
        <v>1523</v>
      </c>
      <c r="AB459" s="141" t="s">
        <v>1524</v>
      </c>
    </row>
    <row r="460" spans="1:28">
      <c r="A460" s="151"/>
      <c r="B460" s="146" t="str">
        <f t="shared" si="40"/>
        <v/>
      </c>
      <c r="C460" s="151"/>
      <c r="D460" s="146" t="str">
        <f t="shared" si="41"/>
        <v/>
      </c>
      <c r="E460" s="186"/>
      <c r="F460" s="146" t="str">
        <f t="shared" si="42"/>
        <v/>
      </c>
      <c r="G460" s="185"/>
      <c r="H460" s="185"/>
      <c r="I460" s="185"/>
      <c r="J460" s="201"/>
      <c r="K460" s="200"/>
      <c r="L460" s="200"/>
      <c r="M460" s="201"/>
      <c r="N460" s="201"/>
      <c r="P460" s="141" t="str">
        <f t="shared" si="43"/>
        <v/>
      </c>
      <c r="Q460" s="141" t="str">
        <f t="shared" si="44"/>
        <v/>
      </c>
      <c r="AA460" s="141" t="s">
        <v>1525</v>
      </c>
      <c r="AB460" s="141" t="s">
        <v>1526</v>
      </c>
    </row>
    <row r="461" spans="1:28">
      <c r="A461" s="151"/>
      <c r="B461" s="146" t="str">
        <f t="shared" si="40"/>
        <v/>
      </c>
      <c r="C461" s="151"/>
      <c r="D461" s="146" t="str">
        <f t="shared" si="41"/>
        <v/>
      </c>
      <c r="E461" s="186"/>
      <c r="F461" s="146" t="str">
        <f t="shared" si="42"/>
        <v/>
      </c>
      <c r="G461" s="185"/>
      <c r="H461" s="185"/>
      <c r="I461" s="185"/>
      <c r="J461" s="201"/>
      <c r="K461" s="200"/>
      <c r="L461" s="200"/>
      <c r="M461" s="201"/>
      <c r="N461" s="201"/>
      <c r="P461" s="141" t="str">
        <f t="shared" si="43"/>
        <v/>
      </c>
      <c r="Q461" s="141" t="str">
        <f t="shared" si="44"/>
        <v/>
      </c>
      <c r="AA461" s="141" t="s">
        <v>1527</v>
      </c>
      <c r="AB461" s="141" t="s">
        <v>1528</v>
      </c>
    </row>
    <row r="462" spans="1:28">
      <c r="A462" s="151"/>
      <c r="B462" s="146" t="str">
        <f t="shared" si="40"/>
        <v/>
      </c>
      <c r="C462" s="151"/>
      <c r="D462" s="146" t="str">
        <f t="shared" si="41"/>
        <v/>
      </c>
      <c r="E462" s="186"/>
      <c r="F462" s="146" t="str">
        <f t="shared" si="42"/>
        <v/>
      </c>
      <c r="G462" s="185"/>
      <c r="H462" s="185"/>
      <c r="I462" s="185"/>
      <c r="J462" s="201"/>
      <c r="K462" s="200"/>
      <c r="L462" s="200"/>
      <c r="M462" s="201"/>
      <c r="N462" s="201"/>
      <c r="P462" s="141" t="str">
        <f t="shared" si="43"/>
        <v/>
      </c>
      <c r="Q462" s="141" t="str">
        <f t="shared" si="44"/>
        <v/>
      </c>
      <c r="AA462" s="141" t="s">
        <v>1529</v>
      </c>
      <c r="AB462" s="141" t="s">
        <v>1530</v>
      </c>
    </row>
    <row r="463" spans="1:28">
      <c r="A463" s="151"/>
      <c r="B463" s="146" t="str">
        <f t="shared" si="40"/>
        <v/>
      </c>
      <c r="C463" s="151"/>
      <c r="D463" s="146" t="str">
        <f t="shared" si="41"/>
        <v/>
      </c>
      <c r="E463" s="186"/>
      <c r="F463" s="146" t="str">
        <f t="shared" si="42"/>
        <v/>
      </c>
      <c r="G463" s="185"/>
      <c r="H463" s="185"/>
      <c r="I463" s="185"/>
      <c r="J463" s="201"/>
      <c r="K463" s="200"/>
      <c r="L463" s="200"/>
      <c r="M463" s="201"/>
      <c r="N463" s="201"/>
      <c r="P463" s="141" t="str">
        <f t="shared" si="43"/>
        <v/>
      </c>
      <c r="Q463" s="141" t="str">
        <f t="shared" si="44"/>
        <v/>
      </c>
      <c r="AA463" s="141" t="s">
        <v>1531</v>
      </c>
      <c r="AB463" s="141" t="s">
        <v>1532</v>
      </c>
    </row>
    <row r="464" spans="1:28">
      <c r="A464" s="151"/>
      <c r="B464" s="146" t="str">
        <f t="shared" si="40"/>
        <v/>
      </c>
      <c r="C464" s="151"/>
      <c r="D464" s="146" t="str">
        <f t="shared" si="41"/>
        <v/>
      </c>
      <c r="E464" s="186"/>
      <c r="F464" s="146" t="str">
        <f t="shared" si="42"/>
        <v/>
      </c>
      <c r="G464" s="185"/>
      <c r="H464" s="185"/>
      <c r="I464" s="185"/>
      <c r="J464" s="201"/>
      <c r="K464" s="200"/>
      <c r="L464" s="200"/>
      <c r="M464" s="201"/>
      <c r="N464" s="201"/>
      <c r="P464" s="141" t="str">
        <f t="shared" si="43"/>
        <v/>
      </c>
      <c r="Q464" s="141" t="str">
        <f t="shared" si="44"/>
        <v/>
      </c>
    </row>
    <row r="465" spans="1:17">
      <c r="A465" s="151"/>
      <c r="B465" s="146" t="str">
        <f t="shared" si="40"/>
        <v/>
      </c>
      <c r="C465" s="151"/>
      <c r="D465" s="146" t="str">
        <f t="shared" si="41"/>
        <v/>
      </c>
      <c r="E465" s="186"/>
      <c r="F465" s="146" t="str">
        <f t="shared" si="42"/>
        <v/>
      </c>
      <c r="G465" s="185"/>
      <c r="H465" s="185"/>
      <c r="I465" s="185"/>
      <c r="J465" s="201"/>
      <c r="K465" s="200"/>
      <c r="L465" s="200"/>
      <c r="M465" s="201"/>
      <c r="N465" s="201"/>
      <c r="P465" s="141" t="str">
        <f t="shared" si="43"/>
        <v/>
      </c>
      <c r="Q465" s="141" t="str">
        <f t="shared" si="44"/>
        <v/>
      </c>
    </row>
    <row r="466" spans="1:17">
      <c r="A466" s="151"/>
      <c r="B466" s="146" t="str">
        <f t="shared" si="40"/>
        <v/>
      </c>
      <c r="C466" s="151"/>
      <c r="D466" s="146" t="str">
        <f t="shared" si="41"/>
        <v/>
      </c>
      <c r="E466" s="186"/>
      <c r="F466" s="146" t="str">
        <f t="shared" si="42"/>
        <v/>
      </c>
      <c r="G466" s="185"/>
      <c r="H466" s="185"/>
      <c r="I466" s="185"/>
      <c r="J466" s="201"/>
      <c r="K466" s="200"/>
      <c r="L466" s="200"/>
      <c r="M466" s="201"/>
      <c r="N466" s="201"/>
      <c r="P466" s="141" t="str">
        <f t="shared" si="43"/>
        <v/>
      </c>
      <c r="Q466" s="141" t="str">
        <f t="shared" si="44"/>
        <v/>
      </c>
    </row>
    <row r="467" spans="1:17">
      <c r="A467" s="151"/>
      <c r="B467" s="146" t="str">
        <f t="shared" si="40"/>
        <v/>
      </c>
      <c r="C467" s="151"/>
      <c r="D467" s="146" t="str">
        <f t="shared" si="41"/>
        <v/>
      </c>
      <c r="E467" s="186"/>
      <c r="F467" s="146" t="str">
        <f t="shared" si="42"/>
        <v/>
      </c>
      <c r="G467" s="185"/>
      <c r="H467" s="185"/>
      <c r="I467" s="185"/>
      <c r="J467" s="201"/>
      <c r="K467" s="200"/>
      <c r="L467" s="200"/>
      <c r="M467" s="201"/>
      <c r="N467" s="201"/>
      <c r="P467" s="141" t="str">
        <f t="shared" si="43"/>
        <v/>
      </c>
      <c r="Q467" s="141" t="str">
        <f t="shared" si="44"/>
        <v/>
      </c>
    </row>
    <row r="468" spans="1:17">
      <c r="A468" s="151"/>
      <c r="B468" s="146" t="str">
        <f t="shared" si="40"/>
        <v/>
      </c>
      <c r="C468" s="151"/>
      <c r="D468" s="146" t="str">
        <f t="shared" si="41"/>
        <v/>
      </c>
      <c r="E468" s="186"/>
      <c r="F468" s="146" t="str">
        <f t="shared" si="42"/>
        <v/>
      </c>
      <c r="G468" s="185"/>
      <c r="H468" s="185"/>
      <c r="I468" s="185"/>
      <c r="J468" s="201"/>
      <c r="K468" s="200"/>
      <c r="L468" s="200"/>
      <c r="M468" s="201"/>
      <c r="N468" s="201"/>
      <c r="P468" s="141" t="str">
        <f t="shared" si="43"/>
        <v/>
      </c>
      <c r="Q468" s="141" t="str">
        <f t="shared" si="44"/>
        <v/>
      </c>
    </row>
    <row r="469" spans="1:17">
      <c r="A469" s="151"/>
      <c r="B469" s="146" t="str">
        <f t="shared" si="40"/>
        <v/>
      </c>
      <c r="C469" s="151"/>
      <c r="D469" s="146" t="str">
        <f t="shared" si="41"/>
        <v/>
      </c>
      <c r="E469" s="186"/>
      <c r="F469" s="146" t="str">
        <f t="shared" si="42"/>
        <v/>
      </c>
      <c r="G469" s="185"/>
      <c r="H469" s="185"/>
      <c r="I469" s="185"/>
      <c r="J469" s="201"/>
      <c r="K469" s="200"/>
      <c r="L469" s="200"/>
      <c r="M469" s="201"/>
      <c r="N469" s="201"/>
      <c r="P469" s="141" t="str">
        <f t="shared" si="43"/>
        <v/>
      </c>
      <c r="Q469" s="141" t="str">
        <f t="shared" si="44"/>
        <v/>
      </c>
    </row>
    <row r="470" spans="1:17">
      <c r="A470" s="151"/>
      <c r="B470" s="146" t="str">
        <f t="shared" si="40"/>
        <v/>
      </c>
      <c r="C470" s="151"/>
      <c r="D470" s="146" t="str">
        <f t="shared" si="41"/>
        <v/>
      </c>
      <c r="E470" s="186"/>
      <c r="F470" s="146" t="str">
        <f t="shared" si="42"/>
        <v/>
      </c>
      <c r="G470" s="185"/>
      <c r="H470" s="185"/>
      <c r="I470" s="185"/>
      <c r="J470" s="201"/>
      <c r="K470" s="200"/>
      <c r="L470" s="200"/>
      <c r="M470" s="201"/>
      <c r="N470" s="201"/>
      <c r="P470" s="141" t="str">
        <f t="shared" si="43"/>
        <v/>
      </c>
      <c r="Q470" s="141" t="str">
        <f t="shared" si="44"/>
        <v/>
      </c>
    </row>
    <row r="471" spans="1:17">
      <c r="A471" s="151"/>
      <c r="B471" s="146" t="str">
        <f t="shared" si="40"/>
        <v/>
      </c>
      <c r="C471" s="151"/>
      <c r="D471" s="146" t="str">
        <f t="shared" si="41"/>
        <v/>
      </c>
      <c r="E471" s="186"/>
      <c r="F471" s="146" t="str">
        <f t="shared" si="42"/>
        <v/>
      </c>
      <c r="G471" s="185"/>
      <c r="H471" s="185"/>
      <c r="I471" s="185"/>
      <c r="J471" s="201"/>
      <c r="K471" s="200"/>
      <c r="L471" s="200"/>
      <c r="M471" s="201"/>
      <c r="N471" s="201"/>
      <c r="P471" s="141" t="str">
        <f t="shared" si="43"/>
        <v/>
      </c>
      <c r="Q471" s="141" t="str">
        <f t="shared" si="44"/>
        <v/>
      </c>
    </row>
    <row r="472" spans="1:17">
      <c r="A472" s="151"/>
      <c r="B472" s="146" t="str">
        <f t="shared" si="40"/>
        <v/>
      </c>
      <c r="C472" s="151"/>
      <c r="D472" s="146" t="str">
        <f t="shared" si="41"/>
        <v/>
      </c>
      <c r="E472" s="186"/>
      <c r="F472" s="146" t="str">
        <f t="shared" si="42"/>
        <v/>
      </c>
      <c r="G472" s="185"/>
      <c r="H472" s="185"/>
      <c r="I472" s="185"/>
      <c r="J472" s="201"/>
      <c r="K472" s="200"/>
      <c r="L472" s="200"/>
      <c r="M472" s="201"/>
      <c r="N472" s="201"/>
      <c r="P472" s="141" t="str">
        <f t="shared" si="43"/>
        <v/>
      </c>
      <c r="Q472" s="141" t="str">
        <f t="shared" si="44"/>
        <v/>
      </c>
    </row>
    <row r="473" spans="1:17">
      <c r="A473" s="151"/>
      <c r="B473" s="146" t="str">
        <f t="shared" si="40"/>
        <v/>
      </c>
      <c r="C473" s="151"/>
      <c r="D473" s="146" t="str">
        <f t="shared" si="41"/>
        <v/>
      </c>
      <c r="E473" s="186"/>
      <c r="F473" s="146" t="str">
        <f t="shared" si="42"/>
        <v/>
      </c>
      <c r="G473" s="185"/>
      <c r="H473" s="185"/>
      <c r="I473" s="185"/>
      <c r="J473" s="201"/>
      <c r="K473" s="200"/>
      <c r="L473" s="200"/>
      <c r="M473" s="201"/>
      <c r="N473" s="201"/>
      <c r="P473" s="141" t="str">
        <f t="shared" si="43"/>
        <v/>
      </c>
      <c r="Q473" s="141" t="str">
        <f t="shared" si="44"/>
        <v/>
      </c>
    </row>
    <row r="474" spans="1:17">
      <c r="A474" s="151"/>
      <c r="B474" s="146" t="str">
        <f t="shared" si="40"/>
        <v/>
      </c>
      <c r="C474" s="151"/>
      <c r="D474" s="146" t="str">
        <f t="shared" si="41"/>
        <v/>
      </c>
      <c r="E474" s="186"/>
      <c r="F474" s="146" t="str">
        <f t="shared" si="42"/>
        <v/>
      </c>
      <c r="G474" s="185"/>
      <c r="H474" s="185"/>
      <c r="I474" s="185"/>
      <c r="J474" s="201"/>
      <c r="K474" s="200"/>
      <c r="L474" s="200"/>
      <c r="M474" s="201"/>
      <c r="N474" s="201"/>
      <c r="P474" s="141" t="str">
        <f t="shared" si="43"/>
        <v/>
      </c>
      <c r="Q474" s="141" t="str">
        <f t="shared" si="44"/>
        <v/>
      </c>
    </row>
    <row r="475" spans="1:17">
      <c r="A475" s="151"/>
      <c r="B475" s="146" t="str">
        <f t="shared" si="40"/>
        <v/>
      </c>
      <c r="C475" s="151"/>
      <c r="D475" s="146" t="str">
        <f t="shared" si="41"/>
        <v/>
      </c>
      <c r="E475" s="186"/>
      <c r="F475" s="146" t="str">
        <f t="shared" si="42"/>
        <v/>
      </c>
      <c r="G475" s="185"/>
      <c r="H475" s="185"/>
      <c r="I475" s="185"/>
      <c r="J475" s="201"/>
      <c r="K475" s="200"/>
      <c r="L475" s="200"/>
      <c r="M475" s="201"/>
      <c r="N475" s="201"/>
      <c r="P475" s="141" t="str">
        <f t="shared" si="43"/>
        <v/>
      </c>
      <c r="Q475" s="141" t="str">
        <f t="shared" si="44"/>
        <v/>
      </c>
    </row>
    <row r="476" spans="1:17">
      <c r="A476" s="151"/>
      <c r="B476" s="146" t="str">
        <f t="shared" si="40"/>
        <v/>
      </c>
      <c r="C476" s="151"/>
      <c r="D476" s="146" t="str">
        <f t="shared" si="41"/>
        <v/>
      </c>
      <c r="E476" s="186"/>
      <c r="F476" s="146" t="str">
        <f t="shared" si="42"/>
        <v/>
      </c>
      <c r="G476" s="185"/>
      <c r="H476" s="185"/>
      <c r="I476" s="185"/>
      <c r="J476" s="201"/>
      <c r="K476" s="200"/>
      <c r="L476" s="200"/>
      <c r="M476" s="201"/>
      <c r="N476" s="201"/>
      <c r="P476" s="141" t="str">
        <f t="shared" si="43"/>
        <v/>
      </c>
      <c r="Q476" s="141" t="str">
        <f t="shared" si="44"/>
        <v/>
      </c>
    </row>
    <row r="477" spans="1:17">
      <c r="A477" s="151"/>
      <c r="B477" s="146" t="str">
        <f t="shared" si="40"/>
        <v/>
      </c>
      <c r="C477" s="151"/>
      <c r="D477" s="146" t="str">
        <f t="shared" si="41"/>
        <v/>
      </c>
      <c r="E477" s="186"/>
      <c r="F477" s="146" t="str">
        <f t="shared" si="42"/>
        <v/>
      </c>
      <c r="G477" s="185"/>
      <c r="H477" s="185"/>
      <c r="I477" s="185"/>
      <c r="J477" s="201"/>
      <c r="K477" s="200"/>
      <c r="L477" s="200"/>
      <c r="M477" s="201"/>
      <c r="N477" s="201"/>
      <c r="P477" s="141" t="str">
        <f t="shared" si="43"/>
        <v/>
      </c>
      <c r="Q477" s="141" t="str">
        <f t="shared" si="44"/>
        <v/>
      </c>
    </row>
    <row r="478" spans="1:17">
      <c r="A478" s="151"/>
      <c r="B478" s="146" t="str">
        <f t="shared" si="40"/>
        <v/>
      </c>
      <c r="C478" s="151"/>
      <c r="D478" s="146" t="str">
        <f t="shared" si="41"/>
        <v/>
      </c>
      <c r="E478" s="186"/>
      <c r="F478" s="146" t="str">
        <f t="shared" si="42"/>
        <v/>
      </c>
      <c r="G478" s="185"/>
      <c r="H478" s="185"/>
      <c r="I478" s="185"/>
      <c r="J478" s="201"/>
      <c r="K478" s="200"/>
      <c r="L478" s="200"/>
      <c r="M478" s="201"/>
      <c r="N478" s="201"/>
      <c r="P478" s="141" t="str">
        <f t="shared" si="43"/>
        <v/>
      </c>
      <c r="Q478" s="141" t="str">
        <f t="shared" si="44"/>
        <v/>
      </c>
    </row>
    <row r="479" spans="1:17">
      <c r="A479" s="151"/>
      <c r="B479" s="146" t="str">
        <f t="shared" si="40"/>
        <v/>
      </c>
      <c r="C479" s="151"/>
      <c r="D479" s="146" t="str">
        <f t="shared" si="41"/>
        <v/>
      </c>
      <c r="E479" s="186"/>
      <c r="F479" s="146" t="str">
        <f t="shared" si="42"/>
        <v/>
      </c>
      <c r="G479" s="185"/>
      <c r="H479" s="185"/>
      <c r="I479" s="185"/>
      <c r="J479" s="201"/>
      <c r="K479" s="200"/>
      <c r="L479" s="200"/>
      <c r="M479" s="201"/>
      <c r="N479" s="201"/>
      <c r="P479" s="141" t="str">
        <f t="shared" si="43"/>
        <v/>
      </c>
      <c r="Q479" s="141" t="str">
        <f t="shared" si="44"/>
        <v/>
      </c>
    </row>
    <row r="480" spans="1:17">
      <c r="A480" s="151"/>
      <c r="B480" s="146" t="str">
        <f t="shared" si="40"/>
        <v/>
      </c>
      <c r="C480" s="151"/>
      <c r="D480" s="146" t="str">
        <f t="shared" si="41"/>
        <v/>
      </c>
      <c r="E480" s="186"/>
      <c r="F480" s="146" t="str">
        <f t="shared" si="42"/>
        <v/>
      </c>
      <c r="G480" s="185"/>
      <c r="H480" s="185"/>
      <c r="I480" s="185"/>
      <c r="J480" s="201"/>
      <c r="K480" s="200"/>
      <c r="L480" s="200"/>
      <c r="M480" s="201"/>
      <c r="N480" s="201"/>
      <c r="P480" s="141" t="str">
        <f t="shared" si="43"/>
        <v/>
      </c>
      <c r="Q480" s="141" t="str">
        <f t="shared" si="44"/>
        <v/>
      </c>
    </row>
    <row r="481" spans="1:17">
      <c r="A481" s="151"/>
      <c r="B481" s="146" t="str">
        <f t="shared" si="40"/>
        <v/>
      </c>
      <c r="C481" s="151"/>
      <c r="D481" s="146" t="str">
        <f t="shared" si="41"/>
        <v/>
      </c>
      <c r="E481" s="186"/>
      <c r="F481" s="146" t="str">
        <f t="shared" si="42"/>
        <v/>
      </c>
      <c r="G481" s="185"/>
      <c r="H481" s="185"/>
      <c r="I481" s="185"/>
      <c r="J481" s="201"/>
      <c r="K481" s="200"/>
      <c r="L481" s="200"/>
      <c r="M481" s="201"/>
      <c r="N481" s="201"/>
      <c r="P481" s="141" t="str">
        <f t="shared" si="43"/>
        <v/>
      </c>
      <c r="Q481" s="141" t="str">
        <f t="shared" si="44"/>
        <v/>
      </c>
    </row>
    <row r="482" spans="1:17">
      <c r="A482" s="151"/>
      <c r="B482" s="146" t="str">
        <f t="shared" si="40"/>
        <v/>
      </c>
      <c r="C482" s="151"/>
      <c r="D482" s="146" t="str">
        <f t="shared" si="41"/>
        <v/>
      </c>
      <c r="E482" s="186"/>
      <c r="F482" s="146" t="str">
        <f t="shared" si="42"/>
        <v/>
      </c>
      <c r="G482" s="185"/>
      <c r="H482" s="185"/>
      <c r="I482" s="185"/>
      <c r="J482" s="201"/>
      <c r="K482" s="200"/>
      <c r="L482" s="200"/>
      <c r="M482" s="201"/>
      <c r="N482" s="201"/>
      <c r="P482" s="141" t="str">
        <f t="shared" si="43"/>
        <v/>
      </c>
      <c r="Q482" s="141" t="str">
        <f t="shared" si="44"/>
        <v/>
      </c>
    </row>
    <row r="483" spans="1:17">
      <c r="A483" s="151"/>
      <c r="B483" s="146" t="str">
        <f t="shared" si="40"/>
        <v/>
      </c>
      <c r="C483" s="151"/>
      <c r="D483" s="146" t="str">
        <f t="shared" si="41"/>
        <v/>
      </c>
      <c r="E483" s="186"/>
      <c r="F483" s="146" t="str">
        <f t="shared" si="42"/>
        <v/>
      </c>
      <c r="G483" s="185"/>
      <c r="H483" s="185"/>
      <c r="I483" s="185"/>
      <c r="J483" s="201"/>
      <c r="K483" s="200"/>
      <c r="L483" s="200"/>
      <c r="M483" s="201"/>
      <c r="N483" s="201"/>
      <c r="P483" s="141" t="str">
        <f t="shared" si="43"/>
        <v/>
      </c>
      <c r="Q483" s="141" t="str">
        <f t="shared" si="44"/>
        <v/>
      </c>
    </row>
    <row r="484" spans="1:17">
      <c r="A484" s="151"/>
      <c r="B484" s="146" t="str">
        <f t="shared" si="40"/>
        <v/>
      </c>
      <c r="C484" s="151"/>
      <c r="D484" s="146" t="str">
        <f t="shared" si="41"/>
        <v/>
      </c>
      <c r="E484" s="186"/>
      <c r="F484" s="146" t="str">
        <f t="shared" si="42"/>
        <v/>
      </c>
      <c r="G484" s="185"/>
      <c r="H484" s="185"/>
      <c r="I484" s="185"/>
      <c r="J484" s="201"/>
      <c r="K484" s="200"/>
      <c r="L484" s="200"/>
      <c r="M484" s="201"/>
      <c r="N484" s="201"/>
      <c r="P484" s="141" t="str">
        <f t="shared" si="43"/>
        <v/>
      </c>
      <c r="Q484" s="141" t="str">
        <f t="shared" si="44"/>
        <v/>
      </c>
    </row>
    <row r="485" spans="1:17">
      <c r="A485" s="151"/>
      <c r="B485" s="146" t="str">
        <f t="shared" si="40"/>
        <v/>
      </c>
      <c r="C485" s="151"/>
      <c r="D485" s="146" t="str">
        <f t="shared" si="41"/>
        <v/>
      </c>
      <c r="E485" s="186"/>
      <c r="F485" s="146" t="str">
        <f t="shared" si="42"/>
        <v/>
      </c>
      <c r="G485" s="185"/>
      <c r="H485" s="185"/>
      <c r="I485" s="185"/>
      <c r="J485" s="201"/>
      <c r="K485" s="200"/>
      <c r="L485" s="200"/>
      <c r="M485" s="201"/>
      <c r="N485" s="201"/>
      <c r="P485" s="141" t="str">
        <f t="shared" si="43"/>
        <v/>
      </c>
      <c r="Q485" s="141" t="str">
        <f t="shared" si="44"/>
        <v/>
      </c>
    </row>
    <row r="486" spans="1:17">
      <c r="A486" s="151"/>
      <c r="B486" s="146" t="str">
        <f t="shared" si="40"/>
        <v/>
      </c>
      <c r="C486" s="151"/>
      <c r="D486" s="146" t="str">
        <f t="shared" si="41"/>
        <v/>
      </c>
      <c r="E486" s="186"/>
      <c r="F486" s="146" t="str">
        <f t="shared" si="42"/>
        <v/>
      </c>
      <c r="G486" s="185"/>
      <c r="H486" s="185"/>
      <c r="I486" s="185"/>
      <c r="J486" s="201"/>
      <c r="K486" s="200"/>
      <c r="L486" s="200"/>
      <c r="M486" s="201"/>
      <c r="N486" s="201"/>
      <c r="P486" s="141" t="str">
        <f t="shared" si="43"/>
        <v/>
      </c>
      <c r="Q486" s="141" t="str">
        <f t="shared" si="44"/>
        <v/>
      </c>
    </row>
    <row r="487" spans="1:17">
      <c r="A487" s="151"/>
      <c r="B487" s="146" t="str">
        <f t="shared" si="40"/>
        <v/>
      </c>
      <c r="C487" s="151"/>
      <c r="D487" s="146" t="str">
        <f t="shared" si="41"/>
        <v/>
      </c>
      <c r="E487" s="186"/>
      <c r="F487" s="146" t="str">
        <f t="shared" si="42"/>
        <v/>
      </c>
      <c r="G487" s="185"/>
      <c r="H487" s="185"/>
      <c r="I487" s="185"/>
      <c r="J487" s="201"/>
      <c r="K487" s="200"/>
      <c r="L487" s="200"/>
      <c r="M487" s="201"/>
      <c r="N487" s="201"/>
      <c r="P487" s="141" t="str">
        <f t="shared" si="43"/>
        <v/>
      </c>
      <c r="Q487" s="141" t="str">
        <f t="shared" si="44"/>
        <v/>
      </c>
    </row>
    <row r="488" spans="1:17">
      <c r="A488" s="151"/>
      <c r="B488" s="146" t="str">
        <f t="shared" si="40"/>
        <v/>
      </c>
      <c r="C488" s="151"/>
      <c r="D488" s="146" t="str">
        <f t="shared" si="41"/>
        <v/>
      </c>
      <c r="E488" s="186"/>
      <c r="F488" s="146" t="str">
        <f t="shared" si="42"/>
        <v/>
      </c>
      <c r="G488" s="185"/>
      <c r="H488" s="185"/>
      <c r="I488" s="185"/>
      <c r="J488" s="201"/>
      <c r="K488" s="200"/>
      <c r="L488" s="200"/>
      <c r="M488" s="201"/>
      <c r="N488" s="201"/>
      <c r="P488" s="141" t="str">
        <f t="shared" si="43"/>
        <v/>
      </c>
      <c r="Q488" s="141" t="str">
        <f t="shared" si="44"/>
        <v/>
      </c>
    </row>
    <row r="489" spans="1:17">
      <c r="A489" s="151"/>
      <c r="B489" s="146" t="str">
        <f t="shared" si="40"/>
        <v/>
      </c>
      <c r="C489" s="151"/>
      <c r="D489" s="146" t="str">
        <f t="shared" si="41"/>
        <v/>
      </c>
      <c r="E489" s="186"/>
      <c r="F489" s="146" t="str">
        <f t="shared" si="42"/>
        <v/>
      </c>
      <c r="G489" s="185"/>
      <c r="H489" s="185"/>
      <c r="I489" s="185"/>
      <c r="J489" s="201"/>
      <c r="K489" s="200"/>
      <c r="L489" s="200"/>
      <c r="M489" s="201"/>
      <c r="N489" s="201"/>
      <c r="P489" s="141" t="str">
        <f t="shared" si="43"/>
        <v/>
      </c>
      <c r="Q489" s="141" t="str">
        <f t="shared" si="44"/>
        <v/>
      </c>
    </row>
    <row r="490" spans="1:17">
      <c r="A490" s="151"/>
      <c r="B490" s="146" t="str">
        <f t="shared" si="40"/>
        <v/>
      </c>
      <c r="C490" s="151"/>
      <c r="D490" s="146" t="str">
        <f t="shared" si="41"/>
        <v/>
      </c>
      <c r="E490" s="186"/>
      <c r="F490" s="146" t="str">
        <f t="shared" si="42"/>
        <v/>
      </c>
      <c r="G490" s="185"/>
      <c r="H490" s="185"/>
      <c r="I490" s="185"/>
      <c r="J490" s="201"/>
      <c r="K490" s="200"/>
      <c r="L490" s="200"/>
      <c r="M490" s="201"/>
      <c r="N490" s="201"/>
      <c r="P490" s="141" t="str">
        <f t="shared" si="43"/>
        <v/>
      </c>
      <c r="Q490" s="141" t="str">
        <f t="shared" si="44"/>
        <v/>
      </c>
    </row>
    <row r="491" spans="1:17">
      <c r="A491" s="151"/>
      <c r="B491" s="146" t="str">
        <f t="shared" si="40"/>
        <v/>
      </c>
      <c r="C491" s="151"/>
      <c r="D491" s="146" t="str">
        <f t="shared" si="41"/>
        <v/>
      </c>
      <c r="E491" s="186"/>
      <c r="F491" s="146" t="str">
        <f t="shared" si="42"/>
        <v/>
      </c>
      <c r="G491" s="185"/>
      <c r="H491" s="185"/>
      <c r="I491" s="185"/>
      <c r="J491" s="201"/>
      <c r="K491" s="200"/>
      <c r="L491" s="200"/>
      <c r="M491" s="201"/>
      <c r="N491" s="201"/>
      <c r="P491" s="141" t="str">
        <f t="shared" si="43"/>
        <v/>
      </c>
      <c r="Q491" s="141" t="str">
        <f t="shared" si="44"/>
        <v/>
      </c>
    </row>
    <row r="492" spans="1:17">
      <c r="A492" s="151"/>
      <c r="B492" s="146" t="str">
        <f t="shared" si="40"/>
        <v/>
      </c>
      <c r="C492" s="151"/>
      <c r="D492" s="146" t="str">
        <f t="shared" si="41"/>
        <v/>
      </c>
      <c r="E492" s="186"/>
      <c r="F492" s="146" t="str">
        <f t="shared" si="42"/>
        <v/>
      </c>
      <c r="G492" s="185"/>
      <c r="H492" s="185"/>
      <c r="I492" s="185"/>
      <c r="J492" s="201"/>
      <c r="K492" s="200"/>
      <c r="L492" s="200"/>
      <c r="M492" s="201"/>
      <c r="N492" s="201"/>
      <c r="P492" s="141" t="str">
        <f t="shared" si="43"/>
        <v/>
      </c>
      <c r="Q492" s="141" t="str">
        <f t="shared" si="44"/>
        <v/>
      </c>
    </row>
    <row r="493" spans="1:17">
      <c r="A493" s="151"/>
      <c r="B493" s="146" t="str">
        <f t="shared" si="40"/>
        <v/>
      </c>
      <c r="C493" s="151"/>
      <c r="D493" s="146" t="str">
        <f t="shared" si="41"/>
        <v/>
      </c>
      <c r="E493" s="186"/>
      <c r="F493" s="146" t="str">
        <f t="shared" si="42"/>
        <v/>
      </c>
      <c r="G493" s="185"/>
      <c r="H493" s="185"/>
      <c r="I493" s="185"/>
      <c r="J493" s="201"/>
      <c r="K493" s="200"/>
      <c r="L493" s="200"/>
      <c r="M493" s="201"/>
      <c r="N493" s="201"/>
      <c r="P493" s="141" t="str">
        <f t="shared" si="43"/>
        <v/>
      </c>
      <c r="Q493" s="141" t="str">
        <f t="shared" si="44"/>
        <v/>
      </c>
    </row>
    <row r="494" spans="1:17">
      <c r="A494" s="151"/>
      <c r="B494" s="146" t="str">
        <f t="shared" si="40"/>
        <v/>
      </c>
      <c r="C494" s="151"/>
      <c r="D494" s="146" t="str">
        <f t="shared" si="41"/>
        <v/>
      </c>
      <c r="E494" s="186"/>
      <c r="F494" s="146" t="str">
        <f t="shared" si="42"/>
        <v/>
      </c>
      <c r="G494" s="185"/>
      <c r="H494" s="185"/>
      <c r="I494" s="185"/>
      <c r="J494" s="201"/>
      <c r="K494" s="200"/>
      <c r="L494" s="200"/>
      <c r="M494" s="201"/>
      <c r="N494" s="201"/>
      <c r="P494" s="141" t="str">
        <f t="shared" si="43"/>
        <v/>
      </c>
      <c r="Q494" s="141" t="str">
        <f t="shared" si="44"/>
        <v/>
      </c>
    </row>
    <row r="495" spans="1:17">
      <c r="A495" s="151"/>
      <c r="B495" s="146" t="str">
        <f t="shared" si="40"/>
        <v/>
      </c>
      <c r="C495" s="151"/>
      <c r="D495" s="146" t="str">
        <f t="shared" si="41"/>
        <v/>
      </c>
      <c r="E495" s="186"/>
      <c r="F495" s="146" t="str">
        <f t="shared" si="42"/>
        <v/>
      </c>
      <c r="G495" s="185"/>
      <c r="H495" s="185"/>
      <c r="I495" s="185"/>
      <c r="J495" s="201"/>
      <c r="K495" s="200"/>
      <c r="L495" s="200"/>
      <c r="M495" s="201"/>
      <c r="N495" s="201"/>
      <c r="P495" s="141" t="str">
        <f t="shared" si="43"/>
        <v/>
      </c>
      <c r="Q495" s="141" t="str">
        <f t="shared" si="44"/>
        <v/>
      </c>
    </row>
    <row r="496" spans="1:17">
      <c r="A496" s="151"/>
      <c r="B496" s="146" t="str">
        <f t="shared" si="40"/>
        <v/>
      </c>
      <c r="C496" s="151"/>
      <c r="D496" s="146" t="str">
        <f t="shared" si="41"/>
        <v/>
      </c>
      <c r="E496" s="186"/>
      <c r="F496" s="146" t="str">
        <f t="shared" si="42"/>
        <v/>
      </c>
      <c r="G496" s="185"/>
      <c r="H496" s="185"/>
      <c r="I496" s="185"/>
      <c r="J496" s="201"/>
      <c r="K496" s="200"/>
      <c r="L496" s="200"/>
      <c r="M496" s="201"/>
      <c r="N496" s="201"/>
      <c r="P496" s="141" t="str">
        <f t="shared" si="43"/>
        <v/>
      </c>
      <c r="Q496" s="141" t="str">
        <f t="shared" si="44"/>
        <v/>
      </c>
    </row>
    <row r="497" spans="1:17">
      <c r="A497" s="151"/>
      <c r="B497" s="146" t="str">
        <f t="shared" si="40"/>
        <v/>
      </c>
      <c r="C497" s="151"/>
      <c r="D497" s="146" t="str">
        <f t="shared" si="41"/>
        <v/>
      </c>
      <c r="E497" s="186"/>
      <c r="F497" s="146" t="str">
        <f t="shared" si="42"/>
        <v/>
      </c>
      <c r="G497" s="185"/>
      <c r="H497" s="185"/>
      <c r="I497" s="185"/>
      <c r="J497" s="201"/>
      <c r="K497" s="200"/>
      <c r="L497" s="200"/>
      <c r="M497" s="201"/>
      <c r="N497" s="201"/>
      <c r="P497" s="141" t="str">
        <f t="shared" si="43"/>
        <v/>
      </c>
      <c r="Q497" s="141" t="str">
        <f t="shared" si="44"/>
        <v/>
      </c>
    </row>
    <row r="498" spans="1:17">
      <c r="A498" s="151"/>
      <c r="B498" s="146" t="str">
        <f t="shared" si="40"/>
        <v/>
      </c>
      <c r="C498" s="151"/>
      <c r="D498" s="146" t="str">
        <f t="shared" si="41"/>
        <v/>
      </c>
      <c r="E498" s="186"/>
      <c r="F498" s="146" t="str">
        <f t="shared" si="42"/>
        <v/>
      </c>
      <c r="G498" s="185"/>
      <c r="H498" s="185"/>
      <c r="I498" s="185"/>
      <c r="J498" s="201"/>
      <c r="K498" s="200"/>
      <c r="L498" s="200"/>
      <c r="M498" s="201"/>
      <c r="N498" s="201"/>
      <c r="P498" s="141" t="str">
        <f t="shared" si="43"/>
        <v/>
      </c>
      <c r="Q498" s="141" t="str">
        <f t="shared" si="44"/>
        <v/>
      </c>
    </row>
    <row r="499" spans="1:17">
      <c r="A499" s="151"/>
      <c r="B499" s="146" t="str">
        <f t="shared" si="40"/>
        <v/>
      </c>
      <c r="C499" s="151"/>
      <c r="D499" s="146" t="str">
        <f t="shared" si="41"/>
        <v/>
      </c>
      <c r="E499" s="186"/>
      <c r="F499" s="146" t="str">
        <f t="shared" si="42"/>
        <v/>
      </c>
      <c r="G499" s="185"/>
      <c r="H499" s="185"/>
      <c r="I499" s="185"/>
      <c r="J499" s="201"/>
      <c r="K499" s="200"/>
      <c r="L499" s="200"/>
      <c r="M499" s="201"/>
      <c r="N499" s="201"/>
      <c r="P499" s="141" t="str">
        <f t="shared" si="43"/>
        <v/>
      </c>
      <c r="Q499" s="141" t="str">
        <f t="shared" si="44"/>
        <v/>
      </c>
    </row>
    <row r="500" spans="1:17">
      <c r="A500" s="151"/>
      <c r="B500" s="146" t="str">
        <f t="shared" si="40"/>
        <v/>
      </c>
      <c r="C500" s="151"/>
      <c r="D500" s="146" t="str">
        <f t="shared" si="41"/>
        <v/>
      </c>
      <c r="E500" s="186"/>
      <c r="F500" s="146" t="str">
        <f t="shared" si="42"/>
        <v/>
      </c>
      <c r="G500" s="185"/>
      <c r="H500" s="185"/>
      <c r="I500" s="185"/>
      <c r="J500" s="201"/>
      <c r="K500" s="200"/>
      <c r="L500" s="200"/>
      <c r="M500" s="201"/>
      <c r="N500" s="201"/>
      <c r="P500" s="141" t="str">
        <f t="shared" si="43"/>
        <v/>
      </c>
      <c r="Q500" s="141" t="str">
        <f t="shared" si="44"/>
        <v/>
      </c>
    </row>
    <row r="501" spans="1:17">
      <c r="A501" s="151"/>
      <c r="B501" s="146" t="str">
        <f t="shared" si="40"/>
        <v/>
      </c>
      <c r="C501" s="151"/>
      <c r="D501" s="146" t="str">
        <f t="shared" si="41"/>
        <v/>
      </c>
      <c r="E501" s="186"/>
      <c r="F501" s="146" t="str">
        <f t="shared" si="42"/>
        <v/>
      </c>
      <c r="G501" s="185"/>
      <c r="H501" s="185"/>
      <c r="I501" s="185"/>
      <c r="J501" s="201"/>
      <c r="K501" s="200"/>
      <c r="L501" s="200"/>
      <c r="M501" s="201"/>
      <c r="N501" s="201"/>
      <c r="P501" s="141" t="str">
        <f t="shared" si="43"/>
        <v/>
      </c>
      <c r="Q501" s="141" t="str">
        <f t="shared" si="44"/>
        <v/>
      </c>
    </row>
    <row r="502" spans="1:17" ht="15.75" customHeight="1"/>
  </sheetData>
  <sheetProtection password="DE31" sheet="1" objects="1" scenarios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$U$5:$U$129</formula1>
    </dataValidation>
    <dataValidation type="whole" allowBlank="1" showInputMessage="1" showErrorMessage="1" errorTitle="GREŠKA" error="U ovo polje je dozvoljen unos samo brojčanih vrijednosti (bez decimala!)" sqref="G3:I501" xr:uid="{00000000-0002-0000-0300-000001000000}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2000000}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3000000}">
      <formula1>$R$6:$R$23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C136"/>
  <sheetViews>
    <sheetView showGridLines="0" topLeftCell="B1" zoomScale="80" zoomScaleNormal="80" workbookViewId="0">
      <pane ySplit="2" topLeftCell="A66" activePane="bottomLeft" state="frozen"/>
      <selection pane="bottomLeft" activeCell="I7" sqref="I7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97" t="s">
        <v>267</v>
      </c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7"/>
      <c r="V1" s="297"/>
      <c r="W1" s="216"/>
    </row>
    <row r="2" spans="1:29" s="90" customFormat="1">
      <c r="B2" s="89"/>
      <c r="C2" s="89"/>
      <c r="D2" s="89"/>
      <c r="V2" s="91" t="s">
        <v>268</v>
      </c>
      <c r="W2" s="91"/>
    </row>
    <row r="3" spans="1:29" s="90" customFormat="1" ht="15.6" customHeight="1">
      <c r="B3" s="291" t="s">
        <v>269</v>
      </c>
      <c r="C3" s="292"/>
      <c r="D3" s="293" t="s">
        <v>42</v>
      </c>
      <c r="E3" s="294"/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294"/>
      <c r="R3" s="294"/>
      <c r="S3" s="294"/>
      <c r="T3" s="294"/>
      <c r="U3" s="294"/>
      <c r="V3" s="295"/>
      <c r="W3" s="218"/>
    </row>
    <row r="4" spans="1:29" s="90" customFormat="1" ht="89.25">
      <c r="A4" s="92" t="s">
        <v>2139</v>
      </c>
      <c r="B4" s="92" t="s">
        <v>270</v>
      </c>
      <c r="C4" s="92" t="s">
        <v>271</v>
      </c>
      <c r="D4" s="184" t="s">
        <v>272</v>
      </c>
      <c r="E4" s="219" t="s">
        <v>353</v>
      </c>
      <c r="F4" s="219" t="s">
        <v>325</v>
      </c>
      <c r="G4" s="220" t="s">
        <v>19</v>
      </c>
      <c r="H4" s="220" t="s">
        <v>1560</v>
      </c>
      <c r="I4" s="220" t="s">
        <v>20</v>
      </c>
      <c r="J4" s="220" t="s">
        <v>273</v>
      </c>
      <c r="K4" s="220" t="s">
        <v>274</v>
      </c>
      <c r="L4" s="220" t="s">
        <v>1561</v>
      </c>
      <c r="M4" s="220" t="s">
        <v>275</v>
      </c>
      <c r="N4" s="220" t="s">
        <v>276</v>
      </c>
      <c r="O4" s="220" t="s">
        <v>277</v>
      </c>
      <c r="P4" s="220" t="s">
        <v>1562</v>
      </c>
      <c r="Q4" s="220" t="s">
        <v>1563</v>
      </c>
      <c r="R4" s="220" t="s">
        <v>2133</v>
      </c>
      <c r="S4" s="220" t="s">
        <v>278</v>
      </c>
      <c r="T4" s="93" t="s">
        <v>279</v>
      </c>
      <c r="U4" s="93" t="s">
        <v>317</v>
      </c>
      <c r="V4" s="93" t="s">
        <v>1533</v>
      </c>
      <c r="W4" s="93" t="s">
        <v>1535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>SUM(E5:W5)</f>
        <v>1100000</v>
      </c>
      <c r="E5" s="3"/>
      <c r="F5" s="3"/>
      <c r="G5" s="3"/>
      <c r="H5" s="3"/>
      <c r="I5" s="3">
        <v>1100000</v>
      </c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349</v>
      </c>
      <c r="D6" s="70">
        <f>SUM(E6:W6)</f>
        <v>8205000</v>
      </c>
      <c r="E6" s="14">
        <f>+E27+E34</f>
        <v>7674900</v>
      </c>
      <c r="F6" s="14">
        <f t="shared" ref="F6:V6" si="0">+F27+F34</f>
        <v>0</v>
      </c>
      <c r="G6" s="14">
        <f t="shared" si="0"/>
        <v>70100</v>
      </c>
      <c r="H6" s="14">
        <f>+H27+H34</f>
        <v>0</v>
      </c>
      <c r="I6" s="14">
        <f t="shared" si="0"/>
        <v>440000</v>
      </c>
      <c r="J6" s="14">
        <f t="shared" si="0"/>
        <v>0</v>
      </c>
      <c r="K6" s="14">
        <f t="shared" si="0"/>
        <v>20000</v>
      </c>
      <c r="L6" s="14">
        <f>+L27+L34</f>
        <v>0</v>
      </c>
      <c r="M6" s="14">
        <f t="shared" si="0"/>
        <v>0</v>
      </c>
      <c r="N6" s="14">
        <f t="shared" si="0"/>
        <v>0</v>
      </c>
      <c r="O6" s="14">
        <f t="shared" si="0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 t="shared" si="0"/>
        <v>0</v>
      </c>
      <c r="T6" s="14">
        <f t="shared" si="0"/>
        <v>0</v>
      </c>
      <c r="U6" s="14">
        <f t="shared" si="0"/>
        <v>0</v>
      </c>
      <c r="V6" s="14">
        <f t="shared" si="0"/>
        <v>0</v>
      </c>
      <c r="W6" s="14">
        <f>+W27+W34</f>
        <v>0</v>
      </c>
    </row>
    <row r="7" spans="1:29" s="90" customFormat="1" ht="21.75" customHeight="1">
      <c r="A7" s="90">
        <v>2021</v>
      </c>
      <c r="B7" s="95"/>
      <c r="C7" s="96" t="s">
        <v>352</v>
      </c>
      <c r="D7" s="70">
        <f t="shared" ref="D7:D41" si="1">SUM(E7:W7)</f>
        <v>-990000</v>
      </c>
      <c r="E7" s="113">
        <v>0</v>
      </c>
      <c r="F7" s="113"/>
      <c r="G7" s="113"/>
      <c r="H7" s="113"/>
      <c r="I7" s="113">
        <v>-990000</v>
      </c>
      <c r="J7" s="113"/>
      <c r="K7" s="113"/>
      <c r="L7" s="113"/>
      <c r="M7" s="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280</v>
      </c>
      <c r="D8" s="70">
        <f t="shared" si="1"/>
        <v>8315000</v>
      </c>
      <c r="E8" s="14">
        <f>+E5+E6+E7</f>
        <v>7674900</v>
      </c>
      <c r="F8" s="14">
        <f t="shared" ref="F8:V8" si="2">+F5+F6+F7</f>
        <v>0</v>
      </c>
      <c r="G8" s="14">
        <f t="shared" si="2"/>
        <v>70100</v>
      </c>
      <c r="H8" s="14">
        <f>+H5+H6+H7</f>
        <v>0</v>
      </c>
      <c r="I8" s="14">
        <f t="shared" si="2"/>
        <v>550000</v>
      </c>
      <c r="J8" s="14">
        <f t="shared" si="2"/>
        <v>0</v>
      </c>
      <c r="K8" s="14">
        <f t="shared" si="2"/>
        <v>20000</v>
      </c>
      <c r="L8" s="14">
        <f>+L5+L6+L7</f>
        <v>0</v>
      </c>
      <c r="M8" s="14">
        <f t="shared" si="2"/>
        <v>0</v>
      </c>
      <c r="N8" s="14">
        <f t="shared" si="2"/>
        <v>0</v>
      </c>
      <c r="O8" s="14">
        <f t="shared" si="2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 t="shared" si="2"/>
        <v>0</v>
      </c>
      <c r="T8" s="14">
        <f t="shared" si="2"/>
        <v>0</v>
      </c>
      <c r="U8" s="14">
        <f t="shared" si="2"/>
        <v>0</v>
      </c>
      <c r="V8" s="14">
        <f t="shared" si="2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235</v>
      </c>
      <c r="D9" s="70">
        <f t="shared" si="1"/>
        <v>8315000</v>
      </c>
      <c r="E9" s="136">
        <f>+'PLAN RASHODA I IZDATAKA'!E3</f>
        <v>7674900</v>
      </c>
      <c r="F9" s="136">
        <f>+'PLAN RASHODA I IZDATAKA'!F3</f>
        <v>0</v>
      </c>
      <c r="G9" s="136">
        <f>+'PLAN RASHODA I IZDATAKA'!G3</f>
        <v>70100</v>
      </c>
      <c r="H9" s="136">
        <f>+'PLAN RASHODA I IZDATAKA'!H3</f>
        <v>0</v>
      </c>
      <c r="I9" s="136">
        <f>+'PLAN RASHODA I IZDATAKA'!I3</f>
        <v>550000</v>
      </c>
      <c r="J9" s="136">
        <f>+'PLAN RASHODA I IZDATAKA'!J3</f>
        <v>0</v>
      </c>
      <c r="K9" s="136">
        <f>+'PLAN RASHODA I IZDATAKA'!K3</f>
        <v>20000</v>
      </c>
      <c r="L9" s="136">
        <f>+'PLAN RASHODA I IZDATAKA'!L3</f>
        <v>0</v>
      </c>
      <c r="M9" s="136">
        <f>+'PLAN RASHODA I IZDATAKA'!M3</f>
        <v>0</v>
      </c>
      <c r="N9" s="136">
        <f>+'PLAN RASHODA I IZDATAKA'!N3</f>
        <v>0</v>
      </c>
      <c r="O9" s="136">
        <f>+'PLAN RASHODA I IZDATAKA'!O3</f>
        <v>0</v>
      </c>
      <c r="P9" s="136">
        <f>+'PLAN RASHODA I IZDATAKA'!P3</f>
        <v>0</v>
      </c>
      <c r="Q9" s="136">
        <f>+'PLAN RASHODA I IZDATAKA'!Q3</f>
        <v>0</v>
      </c>
      <c r="R9" s="136">
        <f>+'PLAN RASHODA I IZDATAKA'!R3</f>
        <v>0</v>
      </c>
      <c r="S9" s="136">
        <f>+'PLAN RASHODA I IZDATAKA'!S3</f>
        <v>0</v>
      </c>
      <c r="T9" s="136">
        <f>+'PLAN RASHODA I IZDATAKA'!T3</f>
        <v>0</v>
      </c>
      <c r="U9" s="136">
        <f>+'PLAN RASHODA I IZDATAKA'!U3</f>
        <v>0</v>
      </c>
      <c r="V9" s="136">
        <f>+'PLAN RASHODA I IZDATAKA'!V3</f>
        <v>0</v>
      </c>
      <c r="W9" s="136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351</v>
      </c>
      <c r="D10" s="70">
        <f t="shared" si="1"/>
        <v>0</v>
      </c>
      <c r="E10" s="118">
        <f>+E8-E9</f>
        <v>0</v>
      </c>
      <c r="F10" s="118">
        <f t="shared" ref="F10:V10" si="3">+F8-F9</f>
        <v>0</v>
      </c>
      <c r="G10" s="118">
        <f t="shared" si="3"/>
        <v>0</v>
      </c>
      <c r="H10" s="118">
        <f>+H8-H9</f>
        <v>0</v>
      </c>
      <c r="I10" s="118">
        <f t="shared" si="3"/>
        <v>0</v>
      </c>
      <c r="J10" s="118">
        <f t="shared" si="3"/>
        <v>0</v>
      </c>
      <c r="K10" s="118">
        <f t="shared" si="3"/>
        <v>0</v>
      </c>
      <c r="L10" s="118">
        <f>+L8-L9</f>
        <v>0</v>
      </c>
      <c r="M10" s="118">
        <f t="shared" si="3"/>
        <v>0</v>
      </c>
      <c r="N10" s="118">
        <f t="shared" si="3"/>
        <v>0</v>
      </c>
      <c r="O10" s="118">
        <f t="shared" si="3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 t="shared" si="3"/>
        <v>0</v>
      </c>
      <c r="T10" s="118">
        <f t="shared" si="3"/>
        <v>0</v>
      </c>
      <c r="U10" s="118">
        <f t="shared" si="3"/>
        <v>0</v>
      </c>
      <c r="V10" s="118">
        <f t="shared" si="3"/>
        <v>0</v>
      </c>
      <c r="W10" s="118">
        <f>+W8-W9</f>
        <v>0</v>
      </c>
    </row>
    <row r="11" spans="1:29" s="90" customFormat="1">
      <c r="A11" s="90">
        <v>2021</v>
      </c>
      <c r="B11" s="97" t="s">
        <v>1565</v>
      </c>
      <c r="C11" s="110" t="s">
        <v>1566</v>
      </c>
      <c r="D11" s="70">
        <f>SUM(E11:W11)</f>
        <v>0</v>
      </c>
      <c r="E11" s="189">
        <f>SUMIFS('Plan prihoda za unos u SAP'!$G$3:$G$501,'Plan prihoda za unos u SAP'!$C$3:$C$501,"=11",'Plan prihoda za unos u SAP'!$K$3:$K$501,"=614")</f>
        <v>0</v>
      </c>
      <c r="F11" s="189">
        <f>SUMIFS('Plan prihoda za unos u SAP'!$G$3:$G$501,'Plan prihoda za unos u SAP'!$C$3:$C$501,"=12",'Plan prihoda za unos u SAP'!$K$3:$K$501,"=614")</f>
        <v>0</v>
      </c>
      <c r="G11" s="189">
        <f>SUMIFS('Plan prihoda za unos u SAP'!$G$3:$G$501,'Plan prihoda za unos u SAP'!$C$3:$C$501,"=31",'Plan prihoda za unos u SAP'!$K$3:$K$501,"=614")</f>
        <v>0</v>
      </c>
      <c r="H11" s="189">
        <f>SUMIFS('Plan prihoda za unos u SAP'!$G$3:$G$501,'Plan prihoda za unos u SAP'!$C$3:$C$501,"=41",'Plan prihoda za unos u SAP'!$K$3:$K$501,"=614")</f>
        <v>0</v>
      </c>
      <c r="I11" s="189">
        <f>SUMIFS('Plan prihoda za unos u SAP'!$G$3:$G$501,'Plan prihoda za unos u SAP'!$C$3:$C$501,"=43",'Plan prihoda za unos u SAP'!$K$3:$K$501,"=614")</f>
        <v>0</v>
      </c>
      <c r="J11" s="189">
        <f>SUMIFS('Plan prihoda za unos u SAP'!$G$3:$G$501,'Plan prihoda za unos u SAP'!$C$3:$C$501,"=51",'Plan prihoda za unos u SAP'!$K$3:$K$501,"=614")</f>
        <v>0</v>
      </c>
      <c r="K11" s="189">
        <f>SUMIFS('Plan prihoda za unos u SAP'!$G$3:$G$501,'Plan prihoda za unos u SAP'!$C$3:$C$501,"=52",'Plan prihoda za unos u SAP'!$K$3:$K$501,"=614")</f>
        <v>0</v>
      </c>
      <c r="L11" s="189">
        <f>SUMIFS('Plan prihoda za unos u SAP'!$G$3:$G$501,'Plan prihoda za unos u SAP'!$C$3:$C$501,"=552",'Plan prihoda za unos u SAP'!$K$3:$K$501,"=614")</f>
        <v>0</v>
      </c>
      <c r="M11" s="189">
        <f>SUMIFS('Plan prihoda za unos u SAP'!$G$3:$G$501,'Plan prihoda za unos u SAP'!$C$3:$C$501,"=559",'Plan prihoda za unos u SAP'!$K$3:$K$501,"=614")</f>
        <v>0</v>
      </c>
      <c r="N11" s="189">
        <f>SUMIFS('Plan prihoda za unos u SAP'!$G$3:$G$501,'Plan prihoda za unos u SAP'!$C$3:$C$501,"=561",'Plan prihoda za unos u SAP'!$K$3:$K$501,"=614")</f>
        <v>0</v>
      </c>
      <c r="O11" s="189">
        <f>SUMIFS('Plan prihoda za unos u SAP'!$G$3:$G$501,'Plan prihoda za unos u SAP'!$C$3:$C$501,"=563",'Plan prihoda za unos u SAP'!$K$3:$K$501,"=614")</f>
        <v>0</v>
      </c>
      <c r="P11" s="189">
        <f>SUMIFS('Plan prihoda za unos u SAP'!$G$3:$G$501,'Plan prihoda za unos u SAP'!$C$3:$C$501,"=573",'Plan prihoda za unos u SAP'!$K$3:$K$501,"=614")</f>
        <v>0</v>
      </c>
      <c r="Q11" s="189">
        <f>SUMIFS('Plan prihoda za unos u SAP'!$G$3:$G$501,'Plan prihoda za unos u SAP'!$C$3:$C$501,"=575",'Plan prihoda za unos u SAP'!$K$3:$K$501,"=614")</f>
        <v>0</v>
      </c>
      <c r="R11" s="189">
        <f>SUMIFS('Plan prihoda za unos u SAP'!$G$3:$G$501,'Plan prihoda za unos u SAP'!$C$3:$C$501,"=576",'Plan prihoda za unos u SAP'!$K$3:$K$501,"=614")</f>
        <v>0</v>
      </c>
      <c r="S11" s="189">
        <f>SUMIFS('Plan prihoda za unos u SAP'!$G$3:$G$501,'Plan prihoda za unos u SAP'!$C$3:$C$501,"=61",'Plan prihoda za unos u SAP'!$K$3:$K$501,"=614")</f>
        <v>0</v>
      </c>
      <c r="T11" s="189">
        <f>SUMIFS('Plan prihoda za unos u SAP'!$G$3:$G$501,'Plan prihoda za unos u SAP'!$C$3:$C$501,"=63",'Plan prihoda za unos u SAP'!$K$3:$K$501,"=614")</f>
        <v>0</v>
      </c>
      <c r="U11" s="189">
        <f>SUMIFS('Plan prihoda za unos u SAP'!$G$3:$G$501,'Plan prihoda za unos u SAP'!$C$3:$C$501,"=71",'Plan prihoda za unos u SAP'!$K$3:$K$501,"=614")</f>
        <v>0</v>
      </c>
      <c r="V11" s="189">
        <f>SUMIFS('Plan prihoda za unos u SAP'!$G$3:$G$501,'Plan prihoda za unos u SAP'!$C$3:$C$501,"=81",'Plan prihoda za unos u SAP'!$K$3:$K$501,"=614")</f>
        <v>0</v>
      </c>
      <c r="W11" s="189">
        <f>SUMIFS('Plan prihoda za unos u SAP'!$G$3:$G$501,'Plan prihoda za unos u SAP'!$C$3:$C$501,"=83",'Plan prihoda za unos u SAP'!$K$3:$K$501,"=614")</f>
        <v>0</v>
      </c>
    </row>
    <row r="12" spans="1:29" s="90" customFormat="1">
      <c r="A12" s="90">
        <v>2021</v>
      </c>
      <c r="B12" s="97" t="s">
        <v>281</v>
      </c>
      <c r="C12" s="110" t="s">
        <v>282</v>
      </c>
      <c r="D12" s="70">
        <f t="shared" si="1"/>
        <v>0</v>
      </c>
      <c r="E12" s="189">
        <f>SUMIFS('Plan prihoda za unos u SAP'!$G$3:$G$501,'Plan prihoda za unos u SAP'!$C$3:$C$501,"=11",'Plan prihoda za unos u SAP'!$K$3:$K$501,"=631")</f>
        <v>0</v>
      </c>
      <c r="F12" s="189">
        <f>SUMIFS('Plan prihoda za unos u SAP'!$G$3:$G$501,'Plan prihoda za unos u SAP'!$C$3:$C$501,"=12",'Plan prihoda za unos u SAP'!$K$3:$K$501,"=631")</f>
        <v>0</v>
      </c>
      <c r="G12" s="189">
        <f>SUMIFS('Plan prihoda za unos u SAP'!$G$3:$G$501,'Plan prihoda za unos u SAP'!$C$3:$C$501,"=31",'Plan prihoda za unos u SAP'!$K$3:$K$501,"=631")</f>
        <v>0</v>
      </c>
      <c r="H12" s="189">
        <f>SUMIFS('Plan prihoda za unos u SAP'!$G$3:$G$501,'Plan prihoda za unos u SAP'!$C$3:$C$501,"=41",'Plan prihoda za unos u SAP'!$K$3:$K$501,"=631")</f>
        <v>0</v>
      </c>
      <c r="I12" s="189">
        <f>SUMIFS('Plan prihoda za unos u SAP'!$G$3:$G$501,'Plan prihoda za unos u SAP'!$C$3:$C$501,"=43",'Plan prihoda za unos u SAP'!$K$3:$K$501,"=631")</f>
        <v>0</v>
      </c>
      <c r="J12" s="189">
        <f>SUMIFS('Plan prihoda za unos u SAP'!$G$3:$G$501,'Plan prihoda za unos u SAP'!$C$3:$C$501,"=51",'Plan prihoda za unos u SAP'!$K$3:$K$501,"=631")</f>
        <v>0</v>
      </c>
      <c r="K12" s="189">
        <f>SUMIFS('Plan prihoda za unos u SAP'!$G$3:$G$501,'Plan prihoda za unos u SAP'!$C$3:$C$501,"=52",'Plan prihoda za unos u SAP'!$K$3:$K$501,"=631")</f>
        <v>0</v>
      </c>
      <c r="L12" s="189">
        <f>SUMIFS('Plan prihoda za unos u SAP'!$G$3:$G$501,'Plan prihoda za unos u SAP'!$C$3:$C$501,"=552",'Plan prihoda za unos u SAP'!$K$3:$K$501,"=631")</f>
        <v>0</v>
      </c>
      <c r="M12" s="189">
        <f>SUMIFS('Plan prihoda za unos u SAP'!$G$3:$G$501,'Plan prihoda za unos u SAP'!$C$3:$C$501,"=559",'Plan prihoda za unos u SAP'!$K$3:$K$501,"=631")</f>
        <v>0</v>
      </c>
      <c r="N12" s="189">
        <f>SUMIFS('Plan prihoda za unos u SAP'!$G$3:$G$501,'Plan prihoda za unos u SAP'!$C$3:$C$501,"=561",'Plan prihoda za unos u SAP'!$K$3:$K$501,"=631")</f>
        <v>0</v>
      </c>
      <c r="O12" s="189">
        <f>SUMIFS('Plan prihoda za unos u SAP'!$G$3:$G$501,'Plan prihoda za unos u SAP'!$C$3:$C$501,"=563",'Plan prihoda za unos u SAP'!$K$3:$K$501,"=631")</f>
        <v>0</v>
      </c>
      <c r="P12" s="189">
        <f>SUMIFS('Plan prihoda za unos u SAP'!$G$3:$G$501,'Plan prihoda za unos u SAP'!$C$3:$C$501,"=573",'Plan prihoda za unos u SAP'!$K$3:$K$501,"=631")</f>
        <v>0</v>
      </c>
      <c r="Q12" s="189">
        <f>SUMIFS('Plan prihoda za unos u SAP'!$G$3:$G$501,'Plan prihoda za unos u SAP'!$C$3:$C$501,"=575",'Plan prihoda za unos u SAP'!$K$3:$K$501,"=631")</f>
        <v>0</v>
      </c>
      <c r="R12" s="189">
        <f>SUMIFS('Plan prihoda za unos u SAP'!$G$3:$G$501,'Plan prihoda za unos u SAP'!$C$3:$C$501,"=576",'Plan prihoda za unos u SAP'!$K$3:$K$501,"=631")</f>
        <v>0</v>
      </c>
      <c r="S12" s="189">
        <f>SUMIFS('Plan prihoda za unos u SAP'!$G$3:$G$501,'Plan prihoda za unos u SAP'!$C$3:$C$501,"=61",'Plan prihoda za unos u SAP'!$K$3:$K$501,"=631")</f>
        <v>0</v>
      </c>
      <c r="T12" s="189">
        <f>SUMIFS('Plan prihoda za unos u SAP'!$G$3:$G$501,'Plan prihoda za unos u SAP'!$C$3:$C$501,"=63",'Plan prihoda za unos u SAP'!$K$3:$K$501,"=631")</f>
        <v>0</v>
      </c>
      <c r="U12" s="189">
        <f>SUMIFS('Plan prihoda za unos u SAP'!$G$3:$G$501,'Plan prihoda za unos u SAP'!$C$3:$C$501,"=71",'Plan prihoda za unos u SAP'!$K$3:$K$501,"=631")</f>
        <v>0</v>
      </c>
      <c r="V12" s="189">
        <f>SUMIFS('Plan prihoda za unos u SAP'!$G$3:$G$501,'Plan prihoda za unos u SAP'!$C$3:$C$501,"=81",'Plan prihoda za unos u SAP'!$K$3:$K$501,"=631")</f>
        <v>0</v>
      </c>
      <c r="W12" s="189">
        <f>SUMIFS('Plan prihoda za unos u SAP'!$G$3:$G$501,'Plan prihoda za unos u SAP'!$C$3:$C$501,"=83",'Plan prihoda za unos u SAP'!$K$3:$K$501,"=631")</f>
        <v>0</v>
      </c>
    </row>
    <row r="13" spans="1:29" s="90" customFormat="1">
      <c r="A13" s="90">
        <v>2021</v>
      </c>
      <c r="B13" s="95" t="s">
        <v>283</v>
      </c>
      <c r="C13" s="96" t="s">
        <v>284</v>
      </c>
      <c r="D13" s="70">
        <f t="shared" si="1"/>
        <v>0</v>
      </c>
      <c r="E13" s="189">
        <f>SUMIFS('Plan prihoda za unos u SAP'!$G$3:$G$501,'Plan prihoda za unos u SAP'!$C$3:$C$501,"=11",'Plan prihoda za unos u SAP'!$K$3:$K$501,"=632")</f>
        <v>0</v>
      </c>
      <c r="F13" s="189">
        <f>SUMIFS('Plan prihoda za unos u SAP'!$G$3:$G$501,'Plan prihoda za unos u SAP'!$C$3:$C$501,"=12",'Plan prihoda za unos u SAP'!$K$3:$K$501,"=632")</f>
        <v>0</v>
      </c>
      <c r="G13" s="189">
        <f>SUMIFS('Plan prihoda za unos u SAP'!$G$3:$G$501,'Plan prihoda za unos u SAP'!$C$3:$C$501,"=31",'Plan prihoda za unos u SAP'!$K$3:$K$501,"=632")</f>
        <v>0</v>
      </c>
      <c r="H13" s="189">
        <f>SUMIFS('Plan prihoda za unos u SAP'!$G$3:$G$501,'Plan prihoda za unos u SAP'!$C$3:$C$501,"=41",'Plan prihoda za unos u SAP'!$K$3:$K$501,"=632")</f>
        <v>0</v>
      </c>
      <c r="I13" s="189">
        <f>SUMIFS('Plan prihoda za unos u SAP'!$G$3:$G$501,'Plan prihoda za unos u SAP'!$C$3:$C$501,"=43",'Plan prihoda za unos u SAP'!$K$3:$K$501,"=632")</f>
        <v>0</v>
      </c>
      <c r="J13" s="189">
        <f>SUMIFS('Plan prihoda za unos u SAP'!$G$3:$G$501,'Plan prihoda za unos u SAP'!$C$3:$C$501,"=51",'Plan prihoda za unos u SAP'!$K$3:$K$501,"=632")</f>
        <v>0</v>
      </c>
      <c r="K13" s="189">
        <f>SUMIFS('Plan prihoda za unos u SAP'!$G$3:$G$501,'Plan prihoda za unos u SAP'!$C$3:$C$501,"=52",'Plan prihoda za unos u SAP'!$K$3:$K$501,"=632")</f>
        <v>0</v>
      </c>
      <c r="L13" s="189">
        <f>SUMIFS('Plan prihoda za unos u SAP'!$G$3:$G$501,'Plan prihoda za unos u SAP'!$C$3:$C$501,"=552",'Plan prihoda za unos u SAP'!$K$3:$K$501,"=632")</f>
        <v>0</v>
      </c>
      <c r="M13" s="189">
        <f>SUMIFS('Plan prihoda za unos u SAP'!$G$3:$G$501,'Plan prihoda za unos u SAP'!$C$3:$C$501,"=559",'Plan prihoda za unos u SAP'!$K$3:$K$501,"=632")</f>
        <v>0</v>
      </c>
      <c r="N13" s="189">
        <f>SUMIFS('Plan prihoda za unos u SAP'!$G$3:$G$501,'Plan prihoda za unos u SAP'!$C$3:$C$501,"=561",'Plan prihoda za unos u SAP'!$K$3:$K$501,"=632")</f>
        <v>0</v>
      </c>
      <c r="O13" s="189">
        <f>SUMIFS('Plan prihoda za unos u SAP'!$G$3:$G$501,'Plan prihoda za unos u SAP'!$C$3:$C$501,"=563",'Plan prihoda za unos u SAP'!$K$3:$K$501,"=632")</f>
        <v>0</v>
      </c>
      <c r="P13" s="189">
        <f>SUMIFS('Plan prihoda za unos u SAP'!$G$3:$G$501,'Plan prihoda za unos u SAP'!$C$3:$C$501,"=573",'Plan prihoda za unos u SAP'!$K$3:$K$501,"=632")</f>
        <v>0</v>
      </c>
      <c r="Q13" s="189">
        <f>SUMIFS('Plan prihoda za unos u SAP'!$G$3:$G$501,'Plan prihoda za unos u SAP'!$C$3:$C$501,"=575",'Plan prihoda za unos u SAP'!$K$3:$K$501,"=632")</f>
        <v>0</v>
      </c>
      <c r="R13" s="189">
        <f>SUMIFS('Plan prihoda za unos u SAP'!$G$3:$G$501,'Plan prihoda za unos u SAP'!$C$3:$C$501,"=576",'Plan prihoda za unos u SAP'!$K$3:$K$501,"=632")</f>
        <v>0</v>
      </c>
      <c r="S13" s="189">
        <f>SUMIFS('Plan prihoda za unos u SAP'!$G$3:$G$501,'Plan prihoda za unos u SAP'!$C$3:$C$501,"=61",'Plan prihoda za unos u SAP'!$K$3:$K$501,"=632")</f>
        <v>0</v>
      </c>
      <c r="T13" s="189">
        <f>SUMIFS('Plan prihoda za unos u SAP'!$G$3:$G$501,'Plan prihoda za unos u SAP'!$C$3:$C$501,"=63",'Plan prihoda za unos u SAP'!$K$3:$K$501,"=632")</f>
        <v>0</v>
      </c>
      <c r="U13" s="189">
        <f>SUMIFS('Plan prihoda za unos u SAP'!$G$3:$G$501,'Plan prihoda za unos u SAP'!$C$3:$C$501,"=71",'Plan prihoda za unos u SAP'!$K$3:$K$501,"=632")</f>
        <v>0</v>
      </c>
      <c r="V13" s="189">
        <f>SUMIFS('Plan prihoda za unos u SAP'!$G$3:$G$501,'Plan prihoda za unos u SAP'!$C$3:$C$501,"=81",'Plan prihoda za unos u SAP'!$K$3:$K$501,"=632")</f>
        <v>0</v>
      </c>
      <c r="W13" s="189">
        <f>SUMIFS('Plan prihoda za unos u SAP'!$G$3:$G$501,'Plan prihoda za unos u SAP'!$C$3:$C$501,"=83",'Plan prihoda za unos u SAP'!$K$3:$K$501,"=632")</f>
        <v>0</v>
      </c>
    </row>
    <row r="14" spans="1:29" s="90" customFormat="1">
      <c r="A14" s="90">
        <v>2021</v>
      </c>
      <c r="B14" s="95" t="s">
        <v>285</v>
      </c>
      <c r="C14" s="96" t="s">
        <v>286</v>
      </c>
      <c r="D14" s="70">
        <f t="shared" si="1"/>
        <v>0</v>
      </c>
      <c r="E14" s="189">
        <f>SUMIFS('Plan prihoda za unos u SAP'!$G$3:$G$501,'Plan prihoda za unos u SAP'!$C$3:$C$501,"=11",'Plan prihoda za unos u SAP'!$K$3:$K$501,"=634")</f>
        <v>0</v>
      </c>
      <c r="F14" s="189">
        <f>SUMIFS('Plan prihoda za unos u SAP'!$G$3:$G$501,'Plan prihoda za unos u SAP'!$C$3:$C$501,"=12",'Plan prihoda za unos u SAP'!$K$3:$K$501,"=634")</f>
        <v>0</v>
      </c>
      <c r="G14" s="189">
        <f>SUMIFS('Plan prihoda za unos u SAP'!$G$3:$G$501,'Plan prihoda za unos u SAP'!$C$3:$C$501,"=31",'Plan prihoda za unos u SAP'!$K$3:$K$501,"=634")</f>
        <v>0</v>
      </c>
      <c r="H14" s="189">
        <f>SUMIFS('Plan prihoda za unos u SAP'!$G$3:$G$501,'Plan prihoda za unos u SAP'!$C$3:$C$501,"=41",'Plan prihoda za unos u SAP'!$K$3:$K$501,"=634")</f>
        <v>0</v>
      </c>
      <c r="I14" s="189">
        <f>SUMIFS('Plan prihoda za unos u SAP'!$G$3:$G$501,'Plan prihoda za unos u SAP'!$C$3:$C$501,"=43",'Plan prihoda za unos u SAP'!$K$3:$K$501,"=634")</f>
        <v>0</v>
      </c>
      <c r="J14" s="189">
        <f>SUMIFS('Plan prihoda za unos u SAP'!$G$3:$G$501,'Plan prihoda za unos u SAP'!$C$3:$C$501,"=51",'Plan prihoda za unos u SAP'!$K$3:$K$501,"=634")</f>
        <v>0</v>
      </c>
      <c r="K14" s="189">
        <f>SUMIFS('Plan prihoda za unos u SAP'!$G$3:$G$501,'Plan prihoda za unos u SAP'!$C$3:$C$501,"=52",'Plan prihoda za unos u SAP'!$K$3:$K$501,"=634")</f>
        <v>0</v>
      </c>
      <c r="L14" s="189">
        <f>SUMIFS('Plan prihoda za unos u SAP'!$G$3:$G$501,'Plan prihoda za unos u SAP'!$C$3:$C$501,"=552",'Plan prihoda za unos u SAP'!$K$3:$K$501,"=634")</f>
        <v>0</v>
      </c>
      <c r="M14" s="189">
        <f>SUMIFS('Plan prihoda za unos u SAP'!$G$3:$G$501,'Plan prihoda za unos u SAP'!$C$3:$C$501,"=559",'Plan prihoda za unos u SAP'!$K$3:$K$501,"=634")</f>
        <v>0</v>
      </c>
      <c r="N14" s="189">
        <f>SUMIFS('Plan prihoda za unos u SAP'!$G$3:$G$501,'Plan prihoda za unos u SAP'!$C$3:$C$501,"=561",'Plan prihoda za unos u SAP'!$K$3:$K$501,"=634")</f>
        <v>0</v>
      </c>
      <c r="O14" s="189">
        <f>SUMIFS('Plan prihoda za unos u SAP'!$G$3:$G$501,'Plan prihoda za unos u SAP'!$C$3:$C$501,"=563",'Plan prihoda za unos u SAP'!$K$3:$K$501,"=634")</f>
        <v>0</v>
      </c>
      <c r="P14" s="189">
        <f>SUMIFS('Plan prihoda za unos u SAP'!$G$3:$G$501,'Plan prihoda za unos u SAP'!$C$3:$C$501,"=573",'Plan prihoda za unos u SAP'!$K$3:$K$501,"=634")</f>
        <v>0</v>
      </c>
      <c r="Q14" s="189">
        <f>SUMIFS('Plan prihoda za unos u SAP'!$G$3:$G$501,'Plan prihoda za unos u SAP'!$C$3:$C$501,"=575",'Plan prihoda za unos u SAP'!$K$3:$K$501,"=634")</f>
        <v>0</v>
      </c>
      <c r="R14" s="189">
        <f>SUMIFS('Plan prihoda za unos u SAP'!$G$3:$G$501,'Plan prihoda za unos u SAP'!$C$3:$C$501,"=576",'Plan prihoda za unos u SAP'!$K$3:$K$501,"=634")</f>
        <v>0</v>
      </c>
      <c r="S14" s="189">
        <f>SUMIFS('Plan prihoda za unos u SAP'!$G$3:$G$501,'Plan prihoda za unos u SAP'!$C$3:$C$501,"=61",'Plan prihoda za unos u SAP'!$K$3:$K$501,"=634")</f>
        <v>0</v>
      </c>
      <c r="T14" s="189">
        <f>SUMIFS('Plan prihoda za unos u SAP'!$G$3:$G$501,'Plan prihoda za unos u SAP'!$C$3:$C$501,"=63",'Plan prihoda za unos u SAP'!$K$3:$K$501,"=634")</f>
        <v>0</v>
      </c>
      <c r="U14" s="189">
        <f>SUMIFS('Plan prihoda za unos u SAP'!$G$3:$G$501,'Plan prihoda za unos u SAP'!$C$3:$C$501,"=71",'Plan prihoda za unos u SAP'!$K$3:$K$501,"=634")</f>
        <v>0</v>
      </c>
      <c r="V14" s="189">
        <f>SUMIFS('Plan prihoda za unos u SAP'!$G$3:$G$501,'Plan prihoda za unos u SAP'!$C$3:$C$501,"=81",'Plan prihoda za unos u SAP'!$K$3:$K$501,"=634")</f>
        <v>0</v>
      </c>
      <c r="W14" s="189">
        <f>SUMIFS('Plan prihoda za unos u SAP'!$G$3:$G$501,'Plan prihoda za unos u SAP'!$C$3:$C$501,"=83",'Plan prihoda za unos u SAP'!$K$3:$K$501,"=634")</f>
        <v>0</v>
      </c>
    </row>
    <row r="15" spans="1:29" s="90" customFormat="1">
      <c r="A15" s="90">
        <v>2021</v>
      </c>
      <c r="B15" s="215" t="s">
        <v>762</v>
      </c>
      <c r="C15" s="96" t="s">
        <v>763</v>
      </c>
      <c r="D15" s="70">
        <f>SUM(E15:W15)</f>
        <v>20000</v>
      </c>
      <c r="E15" s="189">
        <f>SUMIFS('Plan prihoda za unos u SAP'!$G$3:$G$501,'Plan prihoda za unos u SAP'!$C$3:$C$501,"=11",'Plan prihoda za unos u SAP'!$K$3:$K$501,"=636")</f>
        <v>0</v>
      </c>
      <c r="F15" s="189">
        <f>SUMIFS('Plan prihoda za unos u SAP'!$G$3:$G$501,'Plan prihoda za unos u SAP'!$C$3:$C$501,"=12",'Plan prihoda za unos u SAP'!$K$3:$K$501,"=636")</f>
        <v>0</v>
      </c>
      <c r="G15" s="189">
        <f>SUMIFS('Plan prihoda za unos u SAP'!$G$3:$G$501,'Plan prihoda za unos u SAP'!$C$3:$C$501,"=31",'Plan prihoda za unos u SAP'!$K$3:$K$501,"=636")</f>
        <v>0</v>
      </c>
      <c r="H15" s="189">
        <f>SUMIFS('Plan prihoda za unos u SAP'!$G$3:$G$501,'Plan prihoda za unos u SAP'!$C$3:$C$501,"=41",'Plan prihoda za unos u SAP'!$K$3:$K$501,"=636")</f>
        <v>0</v>
      </c>
      <c r="I15" s="189">
        <f>SUMIFS('Plan prihoda za unos u SAP'!$G$3:$G$501,'Plan prihoda za unos u SAP'!$C$3:$C$501,"=43",'Plan prihoda za unos u SAP'!$K$3:$K$501,"=636")</f>
        <v>0</v>
      </c>
      <c r="J15" s="189">
        <f>SUMIFS('Plan prihoda za unos u SAP'!$G$3:$G$501,'Plan prihoda za unos u SAP'!$C$3:$C$501,"=51",'Plan prihoda za unos u SAP'!$K$3:$K$501,"=636")</f>
        <v>0</v>
      </c>
      <c r="K15" s="189">
        <f>SUMIFS('Plan prihoda za unos u SAP'!$G$3:$G$501,'Plan prihoda za unos u SAP'!$C$3:$C$501,"=52",'Plan prihoda za unos u SAP'!$K$3:$K$501,"=636")</f>
        <v>20000</v>
      </c>
      <c r="L15" s="189">
        <f>SUMIFS('Plan prihoda za unos u SAP'!$G$3:$G$501,'Plan prihoda za unos u SAP'!$C$3:$C$501,"=552",'Plan prihoda za unos u SAP'!$K$3:$K$501,"=636")</f>
        <v>0</v>
      </c>
      <c r="M15" s="189">
        <f>SUMIFS('Plan prihoda za unos u SAP'!$G$3:$G$501,'Plan prihoda za unos u SAP'!$C$3:$C$501,"=559",'Plan prihoda za unos u SAP'!$K$3:$K$501,"=636")</f>
        <v>0</v>
      </c>
      <c r="N15" s="189">
        <f>SUMIFS('Plan prihoda za unos u SAP'!$G$3:$G$501,'Plan prihoda za unos u SAP'!$C$3:$C$501,"=561",'Plan prihoda za unos u SAP'!$K$3:$K$501,"=636")</f>
        <v>0</v>
      </c>
      <c r="O15" s="189">
        <f>SUMIFS('Plan prihoda za unos u SAP'!$G$3:$G$501,'Plan prihoda za unos u SAP'!$C$3:$C$501,"=563",'Plan prihoda za unos u SAP'!$K$3:$K$501,"=636")</f>
        <v>0</v>
      </c>
      <c r="P15" s="189">
        <f>SUMIFS('Plan prihoda za unos u SAP'!$G$3:$G$501,'Plan prihoda za unos u SAP'!$C$3:$C$501,"=573",'Plan prihoda za unos u SAP'!$K$3:$K$501,"=636")</f>
        <v>0</v>
      </c>
      <c r="Q15" s="189">
        <f>SUMIFS('Plan prihoda za unos u SAP'!$G$3:$G$501,'Plan prihoda za unos u SAP'!$C$3:$C$501,"=575",'Plan prihoda za unos u SAP'!$K$3:$K$501,"=636")</f>
        <v>0</v>
      </c>
      <c r="R15" s="189">
        <f>SUMIFS('Plan prihoda za unos u SAP'!$G$3:$G$501,'Plan prihoda za unos u SAP'!$C$3:$C$501,"=576",'Plan prihoda za unos u SAP'!$K$3:$K$501,"=636")</f>
        <v>0</v>
      </c>
      <c r="S15" s="189">
        <f>SUMIFS('Plan prihoda za unos u SAP'!$G$3:$G$501,'Plan prihoda za unos u SAP'!$C$3:$C$501,"=61",'Plan prihoda za unos u SAP'!$K$3:$K$501,"=636")</f>
        <v>0</v>
      </c>
      <c r="T15" s="189">
        <f>SUMIFS('Plan prihoda za unos u SAP'!$G$3:$G$501,'Plan prihoda za unos u SAP'!$C$3:$C$501,"=63",'Plan prihoda za unos u SAP'!$K$3:$K$501,"=636")</f>
        <v>0</v>
      </c>
      <c r="U15" s="189">
        <f>SUMIFS('Plan prihoda za unos u SAP'!$G$3:$G$501,'Plan prihoda za unos u SAP'!$C$3:$C$501,"=71",'Plan prihoda za unos u SAP'!$K$3:$K$501,"=636")</f>
        <v>0</v>
      </c>
      <c r="V15" s="189">
        <f>SUMIFS('Plan prihoda za unos u SAP'!$G$3:$G$501,'Plan prihoda za unos u SAP'!$C$3:$C$501,"=81",'Plan prihoda za unos u SAP'!$K$3:$K$501,"=636")</f>
        <v>0</v>
      </c>
      <c r="W15" s="189">
        <f>SUMIFS('Plan prihoda za unos u SAP'!$G$3:$G$501,'Plan prihoda za unos u SAP'!$C$3:$C$501,"=83",'Plan prihoda za unos u SAP'!$K$3:$K$501,"=636")</f>
        <v>0</v>
      </c>
    </row>
    <row r="16" spans="1:29" s="90" customFormat="1">
      <c r="A16" s="90">
        <v>2021</v>
      </c>
      <c r="B16" s="95" t="s">
        <v>287</v>
      </c>
      <c r="C16" s="96" t="s">
        <v>288</v>
      </c>
      <c r="D16" s="70">
        <f t="shared" si="1"/>
        <v>0</v>
      </c>
      <c r="E16" s="189">
        <f>SUMIFS('Plan prihoda za unos u SAP'!$G$3:$G$501,'Plan prihoda za unos u SAP'!$C$3:$C$501,"=11",'Plan prihoda za unos u SAP'!$K$3:$K$501,"=638")</f>
        <v>0</v>
      </c>
      <c r="F16" s="189">
        <f>SUMIFS('Plan prihoda za unos u SAP'!$G$3:$G$501,'Plan prihoda za unos u SAP'!$C$3:$C$501,"=12",'Plan prihoda za unos u SAP'!$K$3:$K$501,"=638")</f>
        <v>0</v>
      </c>
      <c r="G16" s="189">
        <f>SUMIFS('Plan prihoda za unos u SAP'!$G$3:$G$501,'Plan prihoda za unos u SAP'!$C$3:$C$501,"=31",'Plan prihoda za unos u SAP'!$K$3:$K$501,"=638")</f>
        <v>0</v>
      </c>
      <c r="H16" s="189">
        <f>SUMIFS('Plan prihoda za unos u SAP'!$G$3:$G$501,'Plan prihoda za unos u SAP'!$C$3:$C$501,"=41",'Plan prihoda za unos u SAP'!$K$3:$K$501,"=638")</f>
        <v>0</v>
      </c>
      <c r="I16" s="189">
        <f>SUMIFS('Plan prihoda za unos u SAP'!$G$3:$G$501,'Plan prihoda za unos u SAP'!$C$3:$C$501,"=43",'Plan prihoda za unos u SAP'!$K$3:$K$501,"=638")</f>
        <v>0</v>
      </c>
      <c r="J16" s="189">
        <f>SUMIFS('Plan prihoda za unos u SAP'!$G$3:$G$501,'Plan prihoda za unos u SAP'!$C$3:$C$501,"=51",'Plan prihoda za unos u SAP'!$K$3:$K$501,"=638")</f>
        <v>0</v>
      </c>
      <c r="K16" s="189">
        <f>SUMIFS('Plan prihoda za unos u SAP'!$G$3:$G$501,'Plan prihoda za unos u SAP'!$C$3:$C$501,"=52",'Plan prihoda za unos u SAP'!$K$3:$K$501,"=638")</f>
        <v>0</v>
      </c>
      <c r="L16" s="189">
        <f>SUMIFS('Plan prihoda za unos u SAP'!$G$3:$G$501,'Plan prihoda za unos u SAP'!$C$3:$C$501,"=552",'Plan prihoda za unos u SAP'!$K$3:$K$501,"=638")</f>
        <v>0</v>
      </c>
      <c r="M16" s="189">
        <f>SUMIFS('Plan prihoda za unos u SAP'!$G$3:$G$501,'Plan prihoda za unos u SAP'!$C$3:$C$501,"=559",'Plan prihoda za unos u SAP'!$K$3:$K$501,"=638")</f>
        <v>0</v>
      </c>
      <c r="N16" s="189">
        <f>SUMIFS('Plan prihoda za unos u SAP'!$G$3:$G$501,'Plan prihoda za unos u SAP'!$C$3:$C$501,"=561",'Plan prihoda za unos u SAP'!$K$3:$K$501,"=638")</f>
        <v>0</v>
      </c>
      <c r="O16" s="189">
        <f>SUMIFS('Plan prihoda za unos u SAP'!$G$3:$G$501,'Plan prihoda za unos u SAP'!$C$3:$C$501,"=563",'Plan prihoda za unos u SAP'!$K$3:$K$501,"=638")</f>
        <v>0</v>
      </c>
      <c r="P16" s="189">
        <f>SUMIFS('Plan prihoda za unos u SAP'!$G$3:$G$501,'Plan prihoda za unos u SAP'!$C$3:$C$501,"=573",'Plan prihoda za unos u SAP'!$K$3:$K$501,"=638")</f>
        <v>0</v>
      </c>
      <c r="Q16" s="189">
        <f>SUMIFS('Plan prihoda za unos u SAP'!$G$3:$G$501,'Plan prihoda za unos u SAP'!$C$3:$C$501,"=575",'Plan prihoda za unos u SAP'!$K$3:$K$501,"=638")</f>
        <v>0</v>
      </c>
      <c r="R16" s="189">
        <f>SUMIFS('Plan prihoda za unos u SAP'!$G$3:$G$501,'Plan prihoda za unos u SAP'!$C$3:$C$501,"=576",'Plan prihoda za unos u SAP'!$K$3:$K$501,"=638")</f>
        <v>0</v>
      </c>
      <c r="S16" s="189">
        <f>SUMIFS('Plan prihoda za unos u SAP'!$G$3:$G$501,'Plan prihoda za unos u SAP'!$C$3:$C$501,"=61",'Plan prihoda za unos u SAP'!$K$3:$K$501,"=638")</f>
        <v>0</v>
      </c>
      <c r="T16" s="189">
        <f>SUMIFS('Plan prihoda za unos u SAP'!$G$3:$G$501,'Plan prihoda za unos u SAP'!$C$3:$C$501,"=63",'Plan prihoda za unos u SAP'!$K$3:$K$501,"=638")</f>
        <v>0</v>
      </c>
      <c r="U16" s="189">
        <f>SUMIFS('Plan prihoda za unos u SAP'!$G$3:$G$501,'Plan prihoda za unos u SAP'!$C$3:$C$501,"=71",'Plan prihoda za unos u SAP'!$K$3:$K$501,"=638")</f>
        <v>0</v>
      </c>
      <c r="V16" s="189">
        <f>SUMIFS('Plan prihoda za unos u SAP'!$G$3:$G$501,'Plan prihoda za unos u SAP'!$C$3:$C$501,"=81",'Plan prihoda za unos u SAP'!$K$3:$K$501,"=638")</f>
        <v>0</v>
      </c>
      <c r="W16" s="189">
        <f>SUMIFS('Plan prihoda za unos u SAP'!$G$3:$G$501,'Plan prihoda za unos u SAP'!$C$3:$C$501,"=83",'Plan prihoda za unos u SAP'!$K$3:$K$501,"=638")</f>
        <v>0</v>
      </c>
    </row>
    <row r="17" spans="1:23" s="90" customFormat="1">
      <c r="A17" s="90">
        <v>2021</v>
      </c>
      <c r="B17" s="95" t="s">
        <v>289</v>
      </c>
      <c r="C17" s="96" t="s">
        <v>41</v>
      </c>
      <c r="D17" s="70">
        <f t="shared" si="1"/>
        <v>0</v>
      </c>
      <c r="E17" s="189">
        <f>SUMIFS('Plan prihoda za unos u SAP'!$G$3:$G$501,'Plan prihoda za unos u SAP'!$C$3:$C$501,"=11",'Plan prihoda za unos u SAP'!$K$3:$K$501,"=639")</f>
        <v>0</v>
      </c>
      <c r="F17" s="189">
        <f>SUMIFS('Plan prihoda za unos u SAP'!$G$3:$G$501,'Plan prihoda za unos u SAP'!$C$3:$C$501,"=12",'Plan prihoda za unos u SAP'!$K$3:$K$501,"=639")</f>
        <v>0</v>
      </c>
      <c r="G17" s="189">
        <f>SUMIFS('Plan prihoda za unos u SAP'!$G$3:$G$501,'Plan prihoda za unos u SAP'!$C$3:$C$501,"=31",'Plan prihoda za unos u SAP'!$K$3:$K$501,"=639")</f>
        <v>0</v>
      </c>
      <c r="H17" s="189">
        <f>SUMIFS('Plan prihoda za unos u SAP'!$G$3:$G$501,'Plan prihoda za unos u SAP'!$C$3:$C$501,"=41",'Plan prihoda za unos u SAP'!$K$3:$K$501,"=639")</f>
        <v>0</v>
      </c>
      <c r="I17" s="189">
        <f>SUMIFS('Plan prihoda za unos u SAP'!$G$3:$G$501,'Plan prihoda za unos u SAP'!$C$3:$C$501,"=43",'Plan prihoda za unos u SAP'!$K$3:$K$501,"=639")</f>
        <v>0</v>
      </c>
      <c r="J17" s="189">
        <f>SUMIFS('Plan prihoda za unos u SAP'!$G$3:$G$501,'Plan prihoda za unos u SAP'!$C$3:$C$501,"=51",'Plan prihoda za unos u SAP'!$K$3:$K$501,"=639")</f>
        <v>0</v>
      </c>
      <c r="K17" s="189">
        <f>SUMIFS('Plan prihoda za unos u SAP'!$G$3:$G$501,'Plan prihoda za unos u SAP'!$C$3:$C$501,"=52",'Plan prihoda za unos u SAP'!$K$3:$K$501,"=639")</f>
        <v>0</v>
      </c>
      <c r="L17" s="189">
        <f>SUMIFS('Plan prihoda za unos u SAP'!$G$3:$G$501,'Plan prihoda za unos u SAP'!$C$3:$C$501,"=552",'Plan prihoda za unos u SAP'!$K$3:$K$501,"=639")</f>
        <v>0</v>
      </c>
      <c r="M17" s="189">
        <f>SUMIFS('Plan prihoda za unos u SAP'!$G$3:$G$501,'Plan prihoda za unos u SAP'!$C$3:$C$501,"=559",'Plan prihoda za unos u SAP'!$K$3:$K$501,"=639")</f>
        <v>0</v>
      </c>
      <c r="N17" s="189">
        <f>SUMIFS('Plan prihoda za unos u SAP'!$G$3:$G$501,'Plan prihoda za unos u SAP'!$C$3:$C$501,"=561",'Plan prihoda za unos u SAP'!$K$3:$K$501,"=639")</f>
        <v>0</v>
      </c>
      <c r="O17" s="189">
        <f>SUMIFS('Plan prihoda za unos u SAP'!$G$3:$G$501,'Plan prihoda za unos u SAP'!$C$3:$C$501,"=563",'Plan prihoda za unos u SAP'!$K$3:$K$501,"=639")</f>
        <v>0</v>
      </c>
      <c r="P17" s="189">
        <f>SUMIFS('Plan prihoda za unos u SAP'!$G$3:$G$501,'Plan prihoda za unos u SAP'!$C$3:$C$501,"=573",'Plan prihoda za unos u SAP'!$K$3:$K$501,"=639")</f>
        <v>0</v>
      </c>
      <c r="Q17" s="189">
        <f>SUMIFS('Plan prihoda za unos u SAP'!$G$3:$G$501,'Plan prihoda za unos u SAP'!$C$3:$C$501,"=575",'Plan prihoda za unos u SAP'!$K$3:$K$501,"=639")</f>
        <v>0</v>
      </c>
      <c r="R17" s="189">
        <f>SUMIFS('Plan prihoda za unos u SAP'!$G$3:$G$501,'Plan prihoda za unos u SAP'!$C$3:$C$501,"=576",'Plan prihoda za unos u SAP'!$K$3:$K$501,"=639")</f>
        <v>0</v>
      </c>
      <c r="S17" s="189">
        <f>SUMIFS('Plan prihoda za unos u SAP'!$G$3:$G$501,'Plan prihoda za unos u SAP'!$C$3:$C$501,"=61",'Plan prihoda za unos u SAP'!$K$3:$K$501,"=639")</f>
        <v>0</v>
      </c>
      <c r="T17" s="189">
        <f>SUMIFS('Plan prihoda za unos u SAP'!$G$3:$G$501,'Plan prihoda za unos u SAP'!$C$3:$C$501,"=63",'Plan prihoda za unos u SAP'!$K$3:$K$501,"=639")</f>
        <v>0</v>
      </c>
      <c r="U17" s="189">
        <f>SUMIFS('Plan prihoda za unos u SAP'!$G$3:$G$501,'Plan prihoda za unos u SAP'!$C$3:$C$501,"=71",'Plan prihoda za unos u SAP'!$K$3:$K$501,"=639")</f>
        <v>0</v>
      </c>
      <c r="V17" s="189">
        <f>SUMIFS('Plan prihoda za unos u SAP'!$G$3:$G$501,'Plan prihoda za unos u SAP'!$C$3:$C$501,"=81",'Plan prihoda za unos u SAP'!$K$3:$K$501,"=639")</f>
        <v>0</v>
      </c>
      <c r="W17" s="189">
        <f>SUMIFS('Plan prihoda za unos u SAP'!$G$3:$G$501,'Plan prihoda za unos u SAP'!$C$3:$C$501,"=83",'Plan prihoda za unos u SAP'!$K$3:$K$501,"=639")</f>
        <v>0</v>
      </c>
    </row>
    <row r="18" spans="1:23" s="90" customFormat="1">
      <c r="A18" s="90">
        <v>2021</v>
      </c>
      <c r="B18" s="95" t="s">
        <v>290</v>
      </c>
      <c r="C18" s="96" t="s">
        <v>291</v>
      </c>
      <c r="D18" s="70">
        <f t="shared" si="1"/>
        <v>100</v>
      </c>
      <c r="E18" s="189">
        <f>SUMIFS('Plan prihoda za unos u SAP'!$G$3:$G$501,'Plan prihoda za unos u SAP'!$C$3:$C$501,"=11",'Plan prihoda za unos u SAP'!$K$3:$K$501,"=641")</f>
        <v>0</v>
      </c>
      <c r="F18" s="189">
        <f>SUMIFS('Plan prihoda za unos u SAP'!$G$3:$G$501,'Plan prihoda za unos u SAP'!$C$3:$C$501,"=12",'Plan prihoda za unos u SAP'!$K$3:$K$501,"=641")</f>
        <v>0</v>
      </c>
      <c r="G18" s="189">
        <f>SUMIFS('Plan prihoda za unos u SAP'!$G$3:$G$501,'Plan prihoda za unos u SAP'!$C$3:$C$501,"=31",'Plan prihoda za unos u SAP'!$K$3:$K$501,"=641")</f>
        <v>100</v>
      </c>
      <c r="H18" s="189">
        <f>SUMIFS('Plan prihoda za unos u SAP'!$G$3:$G$501,'Plan prihoda za unos u SAP'!$C$3:$C$501,"=41",'Plan prihoda za unos u SAP'!$K$3:$K$501,"=641")</f>
        <v>0</v>
      </c>
      <c r="I18" s="189">
        <f>SUMIFS('Plan prihoda za unos u SAP'!$G$3:$G$501,'Plan prihoda za unos u SAP'!$C$3:$C$501,"=43",'Plan prihoda za unos u SAP'!$K$3:$K$501,"=641")</f>
        <v>0</v>
      </c>
      <c r="J18" s="189">
        <f>SUMIFS('Plan prihoda za unos u SAP'!$G$3:$G$501,'Plan prihoda za unos u SAP'!$C$3:$C$501,"=51",'Plan prihoda za unos u SAP'!$K$3:$K$501,"=641")</f>
        <v>0</v>
      </c>
      <c r="K18" s="189">
        <f>SUMIFS('Plan prihoda za unos u SAP'!$G$3:$G$501,'Plan prihoda za unos u SAP'!$C$3:$C$501,"=52",'Plan prihoda za unos u SAP'!$K$3:$K$501,"=641")</f>
        <v>0</v>
      </c>
      <c r="L18" s="189">
        <f>SUMIFS('Plan prihoda za unos u SAP'!$G$3:$G$501,'Plan prihoda za unos u SAP'!$C$3:$C$501,"=552",'Plan prihoda za unos u SAP'!$K$3:$K$501,"=641")</f>
        <v>0</v>
      </c>
      <c r="M18" s="189">
        <f>SUMIFS('Plan prihoda za unos u SAP'!$G$3:$G$501,'Plan prihoda za unos u SAP'!$C$3:$C$501,"=559",'Plan prihoda za unos u SAP'!$K$3:$K$501,"=641")</f>
        <v>0</v>
      </c>
      <c r="N18" s="189">
        <f>SUMIFS('Plan prihoda za unos u SAP'!$G$3:$G$501,'Plan prihoda za unos u SAP'!$C$3:$C$501,"=561",'Plan prihoda za unos u SAP'!$K$3:$K$501,"=641")</f>
        <v>0</v>
      </c>
      <c r="O18" s="189">
        <f>SUMIFS('Plan prihoda za unos u SAP'!$G$3:$G$501,'Plan prihoda za unos u SAP'!$C$3:$C$501,"=563",'Plan prihoda za unos u SAP'!$K$3:$K$501,"=641")</f>
        <v>0</v>
      </c>
      <c r="P18" s="189">
        <f>SUMIFS('Plan prihoda za unos u SAP'!$G$3:$G$501,'Plan prihoda za unos u SAP'!$C$3:$C$501,"=573",'Plan prihoda za unos u SAP'!$K$3:$K$501,"=641")</f>
        <v>0</v>
      </c>
      <c r="Q18" s="189">
        <f>SUMIFS('Plan prihoda za unos u SAP'!$G$3:$G$501,'Plan prihoda za unos u SAP'!$C$3:$C$501,"=575",'Plan prihoda za unos u SAP'!$K$3:$K$501,"=641")</f>
        <v>0</v>
      </c>
      <c r="R18" s="189">
        <f>SUMIFS('Plan prihoda za unos u SAP'!$G$3:$G$501,'Plan prihoda za unos u SAP'!$C$3:$C$501,"=576",'Plan prihoda za unos u SAP'!$K$3:$K$501,"=641")</f>
        <v>0</v>
      </c>
      <c r="S18" s="189">
        <f>SUMIFS('Plan prihoda za unos u SAP'!$G$3:$G$501,'Plan prihoda za unos u SAP'!$C$3:$C$501,"=61",'Plan prihoda za unos u SAP'!$K$3:$K$501,"=641")</f>
        <v>0</v>
      </c>
      <c r="T18" s="189">
        <f>SUMIFS('Plan prihoda za unos u SAP'!$G$3:$G$501,'Plan prihoda za unos u SAP'!$C$3:$C$501,"=63",'Plan prihoda za unos u SAP'!$K$3:$K$501,"=641")</f>
        <v>0</v>
      </c>
      <c r="U18" s="189">
        <f>SUMIFS('Plan prihoda za unos u SAP'!$G$3:$G$501,'Plan prihoda za unos u SAP'!$C$3:$C$501,"=71",'Plan prihoda za unos u SAP'!$K$3:$K$501,"=641")</f>
        <v>0</v>
      </c>
      <c r="V18" s="189">
        <f>SUMIFS('Plan prihoda za unos u SAP'!$G$3:$G$501,'Plan prihoda za unos u SAP'!$C$3:$C$501,"=81",'Plan prihoda za unos u SAP'!$K$3:$K$501,"=641")</f>
        <v>0</v>
      </c>
      <c r="W18" s="189">
        <f>SUMIFS('Plan prihoda za unos u SAP'!$G$3:$G$501,'Plan prihoda za unos u SAP'!$C$3:$C$501,"=83",'Plan prihoda za unos u SAP'!$K$3:$K$501,"=641")</f>
        <v>0</v>
      </c>
    </row>
    <row r="19" spans="1:23" s="90" customFormat="1">
      <c r="A19" s="90">
        <v>2021</v>
      </c>
      <c r="B19" s="95" t="s">
        <v>292</v>
      </c>
      <c r="C19" s="96" t="s">
        <v>293</v>
      </c>
      <c r="D19" s="70">
        <f t="shared" si="1"/>
        <v>0</v>
      </c>
      <c r="E19" s="189">
        <f>SUMIFS('Plan prihoda za unos u SAP'!$G$3:$G$501,'Plan prihoda za unos u SAP'!$C$3:$C$501,"=11",'Plan prihoda za unos u SAP'!$K$3:$K$501,"=642")</f>
        <v>0</v>
      </c>
      <c r="F19" s="189">
        <f>SUMIFS('Plan prihoda za unos u SAP'!$G$3:$G$501,'Plan prihoda za unos u SAP'!$C$3:$C$501,"=12",'Plan prihoda za unos u SAP'!$K$3:$K$501,"=642")</f>
        <v>0</v>
      </c>
      <c r="G19" s="189">
        <f>SUMIFS('Plan prihoda za unos u SAP'!$G$3:$G$501,'Plan prihoda za unos u SAP'!$C$3:$C$501,"=31",'Plan prihoda za unos u SAP'!$K$3:$K$501,"=642")</f>
        <v>0</v>
      </c>
      <c r="H19" s="189">
        <f>SUMIFS('Plan prihoda za unos u SAP'!$G$3:$G$501,'Plan prihoda za unos u SAP'!$C$3:$C$501,"=41",'Plan prihoda za unos u SAP'!$K$3:$K$501,"=642")</f>
        <v>0</v>
      </c>
      <c r="I19" s="189">
        <f>SUMIFS('Plan prihoda za unos u SAP'!$G$3:$G$501,'Plan prihoda za unos u SAP'!$C$3:$C$501,"=43",'Plan prihoda za unos u SAP'!$K$3:$K$501,"=642")</f>
        <v>0</v>
      </c>
      <c r="J19" s="189">
        <f>SUMIFS('Plan prihoda za unos u SAP'!$G$3:$G$501,'Plan prihoda za unos u SAP'!$C$3:$C$501,"=51",'Plan prihoda za unos u SAP'!$K$3:$K$501,"=642")</f>
        <v>0</v>
      </c>
      <c r="K19" s="189">
        <f>SUMIFS('Plan prihoda za unos u SAP'!$G$3:$G$501,'Plan prihoda za unos u SAP'!$C$3:$C$501,"=52",'Plan prihoda za unos u SAP'!$K$3:$K$501,"=642")</f>
        <v>0</v>
      </c>
      <c r="L19" s="189">
        <f>SUMIFS('Plan prihoda za unos u SAP'!$G$3:$G$501,'Plan prihoda za unos u SAP'!$C$3:$C$501,"=552",'Plan prihoda za unos u SAP'!$K$3:$K$501,"=642")</f>
        <v>0</v>
      </c>
      <c r="M19" s="189">
        <f>SUMIFS('Plan prihoda za unos u SAP'!$G$3:$G$501,'Plan prihoda za unos u SAP'!$C$3:$C$501,"=559",'Plan prihoda za unos u SAP'!$K$3:$K$501,"=642")</f>
        <v>0</v>
      </c>
      <c r="N19" s="189">
        <f>SUMIFS('Plan prihoda za unos u SAP'!$G$3:$G$501,'Plan prihoda za unos u SAP'!$C$3:$C$501,"=561",'Plan prihoda za unos u SAP'!$K$3:$K$501,"=642")</f>
        <v>0</v>
      </c>
      <c r="O19" s="189">
        <f>SUMIFS('Plan prihoda za unos u SAP'!$G$3:$G$501,'Plan prihoda za unos u SAP'!$C$3:$C$501,"=563",'Plan prihoda za unos u SAP'!$K$3:$K$501,"=642")</f>
        <v>0</v>
      </c>
      <c r="P19" s="189">
        <f>SUMIFS('Plan prihoda za unos u SAP'!$G$3:$G$501,'Plan prihoda za unos u SAP'!$C$3:$C$501,"=573",'Plan prihoda za unos u SAP'!$K$3:$K$501,"=642")</f>
        <v>0</v>
      </c>
      <c r="Q19" s="189">
        <f>SUMIFS('Plan prihoda za unos u SAP'!$G$3:$G$501,'Plan prihoda za unos u SAP'!$C$3:$C$501,"=575",'Plan prihoda za unos u SAP'!$K$3:$K$501,"=642")</f>
        <v>0</v>
      </c>
      <c r="R19" s="189">
        <f>SUMIFS('Plan prihoda za unos u SAP'!$G$3:$G$501,'Plan prihoda za unos u SAP'!$C$3:$C$501,"=576",'Plan prihoda za unos u SAP'!$K$3:$K$501,"=642")</f>
        <v>0</v>
      </c>
      <c r="S19" s="189">
        <f>SUMIFS('Plan prihoda za unos u SAP'!$G$3:$G$501,'Plan prihoda za unos u SAP'!$C$3:$C$501,"=61",'Plan prihoda za unos u SAP'!$K$3:$K$501,"=642")</f>
        <v>0</v>
      </c>
      <c r="T19" s="189">
        <f>SUMIFS('Plan prihoda za unos u SAP'!$G$3:$G$501,'Plan prihoda za unos u SAP'!$C$3:$C$501,"=63",'Plan prihoda za unos u SAP'!$K$3:$K$501,"=642")</f>
        <v>0</v>
      </c>
      <c r="U19" s="189">
        <f>SUMIFS('Plan prihoda za unos u SAP'!$G$3:$G$501,'Plan prihoda za unos u SAP'!$C$3:$C$501,"=71",'Plan prihoda za unos u SAP'!$K$3:$K$501,"=642")</f>
        <v>0</v>
      </c>
      <c r="V19" s="189">
        <f>SUMIFS('Plan prihoda za unos u SAP'!$G$3:$G$501,'Plan prihoda za unos u SAP'!$C$3:$C$501,"=81",'Plan prihoda za unos u SAP'!$K$3:$K$501,"=642")</f>
        <v>0</v>
      </c>
      <c r="W19" s="189">
        <f>SUMIFS('Plan prihoda za unos u SAP'!$G$3:$G$501,'Plan prihoda za unos u SAP'!$C$3:$C$501,"=83",'Plan prihoda za unos u SAP'!$K$3:$K$501,"=642")</f>
        <v>0</v>
      </c>
    </row>
    <row r="20" spans="1:23" s="90" customFormat="1">
      <c r="A20" s="90">
        <v>2021</v>
      </c>
      <c r="B20" s="215" t="s">
        <v>765</v>
      </c>
      <c r="C20" s="96" t="s">
        <v>764</v>
      </c>
      <c r="D20" s="70">
        <f t="shared" si="1"/>
        <v>0</v>
      </c>
      <c r="E20" s="189">
        <f>SUMIFS('Plan prihoda za unos u SAP'!$G$3:$G$501,'Plan prihoda za unos u SAP'!$C$3:$C$501,"=11",'Plan prihoda za unos u SAP'!$K$3:$K$501,"=651")</f>
        <v>0</v>
      </c>
      <c r="F20" s="189">
        <f>SUMIFS('Plan prihoda za unos u SAP'!$G$3:$G$501,'Plan prihoda za unos u SAP'!$C$3:$C$501,"=12",'Plan prihoda za unos u SAP'!$K$3:$K$501,"=651")</f>
        <v>0</v>
      </c>
      <c r="G20" s="189">
        <f>SUMIFS('Plan prihoda za unos u SAP'!$G$3:$G$501,'Plan prihoda za unos u SAP'!$C$3:$C$501,"=31",'Plan prihoda za unos u SAP'!$K$3:$K$501,"=651")</f>
        <v>0</v>
      </c>
      <c r="H20" s="189">
        <f>SUMIFS('Plan prihoda za unos u SAP'!$G$3:$G$501,'Plan prihoda za unos u SAP'!$C$3:$C$501,"=41",'Plan prihoda za unos u SAP'!$K$3:$K$501,"=651")</f>
        <v>0</v>
      </c>
      <c r="I20" s="189">
        <f>SUMIFS('Plan prihoda za unos u SAP'!$G$3:$G$501,'Plan prihoda za unos u SAP'!$C$3:$C$501,"=43",'Plan prihoda za unos u SAP'!$K$3:$K$501,"=651")</f>
        <v>0</v>
      </c>
      <c r="J20" s="189">
        <f>SUMIFS('Plan prihoda za unos u SAP'!$G$3:$G$501,'Plan prihoda za unos u SAP'!$C$3:$C$501,"=51",'Plan prihoda za unos u SAP'!$K$3:$K$501,"=651")</f>
        <v>0</v>
      </c>
      <c r="K20" s="189">
        <f>SUMIFS('Plan prihoda za unos u SAP'!$G$3:$G$501,'Plan prihoda za unos u SAP'!$C$3:$C$501,"=52",'Plan prihoda za unos u SAP'!$K$3:$K$501,"=651")</f>
        <v>0</v>
      </c>
      <c r="L20" s="189">
        <f>SUMIFS('Plan prihoda za unos u SAP'!$G$3:$G$501,'Plan prihoda za unos u SAP'!$C$3:$C$501,"=552",'Plan prihoda za unos u SAP'!$K$3:$K$501,"=651")</f>
        <v>0</v>
      </c>
      <c r="M20" s="189">
        <f>SUMIFS('Plan prihoda za unos u SAP'!$G$3:$G$501,'Plan prihoda za unos u SAP'!$C$3:$C$501,"=559",'Plan prihoda za unos u SAP'!$K$3:$K$501,"=651")</f>
        <v>0</v>
      </c>
      <c r="N20" s="189">
        <f>SUMIFS('Plan prihoda za unos u SAP'!$G$3:$G$501,'Plan prihoda za unos u SAP'!$C$3:$C$501,"=561",'Plan prihoda za unos u SAP'!$K$3:$K$501,"=651")</f>
        <v>0</v>
      </c>
      <c r="O20" s="189">
        <f>SUMIFS('Plan prihoda za unos u SAP'!$G$3:$G$501,'Plan prihoda za unos u SAP'!$C$3:$C$501,"=563",'Plan prihoda za unos u SAP'!$K$3:$K$501,"=651")</f>
        <v>0</v>
      </c>
      <c r="P20" s="189">
        <f>SUMIFS('Plan prihoda za unos u SAP'!$G$3:$G$501,'Plan prihoda za unos u SAP'!$C$3:$C$501,"=573",'Plan prihoda za unos u SAP'!$K$3:$K$501,"=651")</f>
        <v>0</v>
      </c>
      <c r="Q20" s="189">
        <f>SUMIFS('Plan prihoda za unos u SAP'!$G$3:$G$501,'Plan prihoda za unos u SAP'!$C$3:$C$501,"=575",'Plan prihoda za unos u SAP'!$K$3:$K$501,"=651")</f>
        <v>0</v>
      </c>
      <c r="R20" s="189">
        <f>SUMIFS('Plan prihoda za unos u SAP'!$G$3:$G$501,'Plan prihoda za unos u SAP'!$C$3:$C$501,"=576",'Plan prihoda za unos u SAP'!$K$3:$K$501,"=651")</f>
        <v>0</v>
      </c>
      <c r="S20" s="189">
        <f>SUMIFS('Plan prihoda za unos u SAP'!$G$3:$G$501,'Plan prihoda za unos u SAP'!$C$3:$C$501,"=61",'Plan prihoda za unos u SAP'!$K$3:$K$501,"=651")</f>
        <v>0</v>
      </c>
      <c r="T20" s="189">
        <f>SUMIFS('Plan prihoda za unos u SAP'!$G$3:$G$501,'Plan prihoda za unos u SAP'!$C$3:$C$501,"=63",'Plan prihoda za unos u SAP'!$K$3:$K$501,"=651")</f>
        <v>0</v>
      </c>
      <c r="U20" s="189">
        <f>SUMIFS('Plan prihoda za unos u SAP'!$G$3:$G$501,'Plan prihoda za unos u SAP'!$C$3:$C$501,"=71",'Plan prihoda za unos u SAP'!$K$3:$K$501,"=651")</f>
        <v>0</v>
      </c>
      <c r="V20" s="189">
        <f>SUMIFS('Plan prihoda za unos u SAP'!$G$3:$G$501,'Plan prihoda za unos u SAP'!$C$3:$C$501,"=81",'Plan prihoda za unos u SAP'!$K$3:$K$501,"=651")</f>
        <v>0</v>
      </c>
      <c r="W20" s="189">
        <f>SUMIFS('Plan prihoda za unos u SAP'!$G$3:$G$501,'Plan prihoda za unos u SAP'!$C$3:$C$501,"=83",'Plan prihoda za unos u SAP'!$K$3:$K$501,"=651")</f>
        <v>0</v>
      </c>
    </row>
    <row r="21" spans="1:23" s="90" customFormat="1">
      <c r="A21" s="90">
        <v>2021</v>
      </c>
      <c r="B21" s="95" t="s">
        <v>294</v>
      </c>
      <c r="C21" s="96" t="s">
        <v>295</v>
      </c>
      <c r="D21" s="70">
        <f t="shared" si="1"/>
        <v>440000</v>
      </c>
      <c r="E21" s="189">
        <f>SUMIFS('Plan prihoda za unos u SAP'!$G$3:$G$501,'Plan prihoda za unos u SAP'!$C$3:$C$501,"=11",'Plan prihoda za unos u SAP'!$K$3:$K$501,"=652")</f>
        <v>0</v>
      </c>
      <c r="F21" s="189">
        <f>SUMIFS('Plan prihoda za unos u SAP'!$G$3:$G$501,'Plan prihoda za unos u SAP'!$C$3:$C$501,"=12",'Plan prihoda za unos u SAP'!$K$3:$K$501,"=652")</f>
        <v>0</v>
      </c>
      <c r="G21" s="189">
        <f>SUMIFS('Plan prihoda za unos u SAP'!$G$3:$G$501,'Plan prihoda za unos u SAP'!$C$3:$C$501,"=31",'Plan prihoda za unos u SAP'!$K$3:$K$501,"=652")</f>
        <v>0</v>
      </c>
      <c r="H21" s="189">
        <f>SUMIFS('Plan prihoda za unos u SAP'!$G$3:$G$501,'Plan prihoda za unos u SAP'!$C$3:$C$501,"=41",'Plan prihoda za unos u SAP'!$K$3:$K$501,"=652")</f>
        <v>0</v>
      </c>
      <c r="I21" s="189">
        <f>SUMIFS('Plan prihoda za unos u SAP'!$G$3:$G$501,'Plan prihoda za unos u SAP'!$C$3:$C$501,"=43",'Plan prihoda za unos u SAP'!$K$3:$K$501,"=652")</f>
        <v>440000</v>
      </c>
      <c r="J21" s="189">
        <f>SUMIFS('Plan prihoda za unos u SAP'!$G$3:$G$501,'Plan prihoda za unos u SAP'!$C$3:$C$501,"=51",'Plan prihoda za unos u SAP'!$K$3:$K$501,"=652")</f>
        <v>0</v>
      </c>
      <c r="K21" s="189">
        <f>SUMIFS('Plan prihoda za unos u SAP'!$G$3:$G$501,'Plan prihoda za unos u SAP'!$C$3:$C$501,"=52",'Plan prihoda za unos u SAP'!$K$3:$K$501,"=652")</f>
        <v>0</v>
      </c>
      <c r="L21" s="189">
        <f>SUMIFS('Plan prihoda za unos u SAP'!$G$3:$G$501,'Plan prihoda za unos u SAP'!$C$3:$C$501,"=552",'Plan prihoda za unos u SAP'!$K$3:$K$501,"=652")</f>
        <v>0</v>
      </c>
      <c r="M21" s="189">
        <f>SUMIFS('Plan prihoda za unos u SAP'!$G$3:$G$501,'Plan prihoda za unos u SAP'!$C$3:$C$501,"=559",'Plan prihoda za unos u SAP'!$K$3:$K$501,"=652")</f>
        <v>0</v>
      </c>
      <c r="N21" s="189">
        <f>SUMIFS('Plan prihoda za unos u SAP'!$G$3:$G$501,'Plan prihoda za unos u SAP'!$C$3:$C$501,"=561",'Plan prihoda za unos u SAP'!$K$3:$K$501,"=652")</f>
        <v>0</v>
      </c>
      <c r="O21" s="189">
        <f>SUMIFS('Plan prihoda za unos u SAP'!$G$3:$G$501,'Plan prihoda za unos u SAP'!$C$3:$C$501,"=563",'Plan prihoda za unos u SAP'!$K$3:$K$501,"=652")</f>
        <v>0</v>
      </c>
      <c r="P21" s="189">
        <f>SUMIFS('Plan prihoda za unos u SAP'!$G$3:$G$501,'Plan prihoda za unos u SAP'!$C$3:$C$501,"=573",'Plan prihoda za unos u SAP'!$K$3:$K$501,"=652")</f>
        <v>0</v>
      </c>
      <c r="Q21" s="189">
        <f>SUMIFS('Plan prihoda za unos u SAP'!$G$3:$G$501,'Plan prihoda za unos u SAP'!$C$3:$C$501,"=575",'Plan prihoda za unos u SAP'!$K$3:$K$501,"=652")</f>
        <v>0</v>
      </c>
      <c r="R21" s="189">
        <f>SUMIFS('Plan prihoda za unos u SAP'!$G$3:$G$501,'Plan prihoda za unos u SAP'!$C$3:$C$501,"=576",'Plan prihoda za unos u SAP'!$K$3:$K$501,"=652")</f>
        <v>0</v>
      </c>
      <c r="S21" s="189">
        <f>SUMIFS('Plan prihoda za unos u SAP'!$G$3:$G$501,'Plan prihoda za unos u SAP'!$C$3:$C$501,"=61",'Plan prihoda za unos u SAP'!$K$3:$K$501,"=652")</f>
        <v>0</v>
      </c>
      <c r="T21" s="189">
        <f>SUMIFS('Plan prihoda za unos u SAP'!$G$3:$G$501,'Plan prihoda za unos u SAP'!$C$3:$C$501,"=63",'Plan prihoda za unos u SAP'!$K$3:$K$501,"=652")</f>
        <v>0</v>
      </c>
      <c r="U21" s="189">
        <f>SUMIFS('Plan prihoda za unos u SAP'!$G$3:$G$501,'Plan prihoda za unos u SAP'!$C$3:$C$501,"=71",'Plan prihoda za unos u SAP'!$K$3:$K$501,"=652")</f>
        <v>0</v>
      </c>
      <c r="V21" s="189">
        <f>SUMIFS('Plan prihoda za unos u SAP'!$G$3:$G$501,'Plan prihoda za unos u SAP'!$C$3:$C$501,"=81",'Plan prihoda za unos u SAP'!$K$3:$K$501,"=652")</f>
        <v>0</v>
      </c>
      <c r="W21" s="189">
        <f>SUMIFS('Plan prihoda za unos u SAP'!$G$3:$G$501,'Plan prihoda za unos u SAP'!$C$3:$C$501,"=83",'Plan prihoda za unos u SAP'!$K$3:$K$501,"=652")</f>
        <v>0</v>
      </c>
    </row>
    <row r="22" spans="1:23" s="90" customFormat="1">
      <c r="A22" s="90">
        <v>2021</v>
      </c>
      <c r="B22" s="95" t="s">
        <v>296</v>
      </c>
      <c r="C22" s="96" t="s">
        <v>297</v>
      </c>
      <c r="D22" s="70">
        <f t="shared" si="1"/>
        <v>65000</v>
      </c>
      <c r="E22" s="189">
        <f>SUMIFS('Plan prihoda za unos u SAP'!$G$3:$G$501,'Plan prihoda za unos u SAP'!$C$3:$C$501,"=11",'Plan prihoda za unos u SAP'!$K$3:$K$501,"=661")</f>
        <v>0</v>
      </c>
      <c r="F22" s="189">
        <f>SUMIFS('Plan prihoda za unos u SAP'!$G$3:$G$501,'Plan prihoda za unos u SAP'!$C$3:$C$501,"=12",'Plan prihoda za unos u SAP'!$K$3:$K$501,"=661")</f>
        <v>0</v>
      </c>
      <c r="G22" s="189">
        <f>SUMIFS('Plan prihoda za unos u SAP'!$G$3:$G$501,'Plan prihoda za unos u SAP'!$C$3:$C$501,"=31",'Plan prihoda za unos u SAP'!$K$3:$K$501,"=661")</f>
        <v>65000</v>
      </c>
      <c r="H22" s="189">
        <f>SUMIFS('Plan prihoda za unos u SAP'!$G$3:$G$501,'Plan prihoda za unos u SAP'!$C$3:$C$501,"=41",'Plan prihoda za unos u SAP'!$K$3:$K$501,"=661")</f>
        <v>0</v>
      </c>
      <c r="I22" s="189">
        <f>SUMIFS('Plan prihoda za unos u SAP'!$G$3:$G$501,'Plan prihoda za unos u SAP'!$C$3:$C$501,"=43",'Plan prihoda za unos u SAP'!$K$3:$K$501,"=661")</f>
        <v>0</v>
      </c>
      <c r="J22" s="189">
        <f>SUMIFS('Plan prihoda za unos u SAP'!$G$3:$G$501,'Plan prihoda za unos u SAP'!$C$3:$C$501,"=51",'Plan prihoda za unos u SAP'!$K$3:$K$501,"=661")</f>
        <v>0</v>
      </c>
      <c r="K22" s="189">
        <f>SUMIFS('Plan prihoda za unos u SAP'!$G$3:$G$501,'Plan prihoda za unos u SAP'!$C$3:$C$501,"=52",'Plan prihoda za unos u SAP'!$K$3:$K$501,"=661")</f>
        <v>0</v>
      </c>
      <c r="L22" s="189">
        <f>SUMIFS('Plan prihoda za unos u SAP'!$G$3:$G$501,'Plan prihoda za unos u SAP'!$C$3:$C$501,"=552",'Plan prihoda za unos u SAP'!$K$3:$K$501,"=661")</f>
        <v>0</v>
      </c>
      <c r="M22" s="189">
        <f>SUMIFS('Plan prihoda za unos u SAP'!$G$3:$G$501,'Plan prihoda za unos u SAP'!$C$3:$C$501,"=559",'Plan prihoda za unos u SAP'!$K$3:$K$501,"=661")</f>
        <v>0</v>
      </c>
      <c r="N22" s="189">
        <f>SUMIFS('Plan prihoda za unos u SAP'!$G$3:$G$501,'Plan prihoda za unos u SAP'!$C$3:$C$501,"=561",'Plan prihoda za unos u SAP'!$K$3:$K$501,"=661")</f>
        <v>0</v>
      </c>
      <c r="O22" s="189">
        <f>SUMIFS('Plan prihoda za unos u SAP'!$G$3:$G$501,'Plan prihoda za unos u SAP'!$C$3:$C$501,"=563",'Plan prihoda za unos u SAP'!$K$3:$K$501,"=661")</f>
        <v>0</v>
      </c>
      <c r="P22" s="189">
        <f>SUMIFS('Plan prihoda za unos u SAP'!$G$3:$G$501,'Plan prihoda za unos u SAP'!$C$3:$C$501,"=573",'Plan prihoda za unos u SAP'!$K$3:$K$501,"=661")</f>
        <v>0</v>
      </c>
      <c r="Q22" s="189">
        <f>SUMIFS('Plan prihoda za unos u SAP'!$G$3:$G$501,'Plan prihoda za unos u SAP'!$C$3:$C$501,"=575",'Plan prihoda za unos u SAP'!$K$3:$K$501,"=661")</f>
        <v>0</v>
      </c>
      <c r="R22" s="189">
        <f>SUMIFS('Plan prihoda za unos u SAP'!$G$3:$G$501,'Plan prihoda za unos u SAP'!$C$3:$C$501,"=576",'Plan prihoda za unos u SAP'!$K$3:$K$501,"=661")</f>
        <v>0</v>
      </c>
      <c r="S22" s="189">
        <f>SUMIFS('Plan prihoda za unos u SAP'!$G$3:$G$501,'Plan prihoda za unos u SAP'!$C$3:$C$501,"=61",'Plan prihoda za unos u SAP'!$K$3:$K$501,"=661")</f>
        <v>0</v>
      </c>
      <c r="T22" s="189">
        <f>SUMIFS('Plan prihoda za unos u SAP'!$G$3:$G$501,'Plan prihoda za unos u SAP'!$C$3:$C$501,"=63",'Plan prihoda za unos u SAP'!$K$3:$K$501,"=661")</f>
        <v>0</v>
      </c>
      <c r="U22" s="189">
        <f>SUMIFS('Plan prihoda za unos u SAP'!$G$3:$G$501,'Plan prihoda za unos u SAP'!$C$3:$C$501,"=71",'Plan prihoda za unos u SAP'!$K$3:$K$501,"=661")</f>
        <v>0</v>
      </c>
      <c r="V22" s="189">
        <f>SUMIFS('Plan prihoda za unos u SAP'!$G$3:$G$501,'Plan prihoda za unos u SAP'!$C$3:$C$501,"=81",'Plan prihoda za unos u SAP'!$K$3:$K$501,"=661")</f>
        <v>0</v>
      </c>
      <c r="W22" s="189">
        <f>SUMIFS('Plan prihoda za unos u SAP'!$G$3:$G$501,'Plan prihoda za unos u SAP'!$C$3:$C$501,"=83",'Plan prihoda za unos u SAP'!$K$3:$K$501,"=661")</f>
        <v>0</v>
      </c>
    </row>
    <row r="23" spans="1:23" s="90" customFormat="1">
      <c r="A23" s="90">
        <v>2021</v>
      </c>
      <c r="B23" s="95" t="s">
        <v>298</v>
      </c>
      <c r="C23" s="96" t="s">
        <v>299</v>
      </c>
      <c r="D23" s="70">
        <f t="shared" si="1"/>
        <v>0</v>
      </c>
      <c r="E23" s="189">
        <f>SUMIFS('Plan prihoda za unos u SAP'!$G$3:$G$501,'Plan prihoda za unos u SAP'!$C$3:$C$501,"=11",'Plan prihoda za unos u SAP'!$K$3:$K$501,"=663")</f>
        <v>0</v>
      </c>
      <c r="F23" s="189">
        <f>SUMIFS('Plan prihoda za unos u SAP'!$G$3:$G$501,'Plan prihoda za unos u SAP'!$C$3:$C$501,"=12",'Plan prihoda za unos u SAP'!$K$3:$K$501,"=663")</f>
        <v>0</v>
      </c>
      <c r="G23" s="189">
        <f>SUMIFS('Plan prihoda za unos u SAP'!$G$3:$G$501,'Plan prihoda za unos u SAP'!$C$3:$C$501,"=31",'Plan prihoda za unos u SAP'!$K$3:$K$501,"=663")</f>
        <v>0</v>
      </c>
      <c r="H23" s="189">
        <f>SUMIFS('Plan prihoda za unos u SAP'!$G$3:$G$501,'Plan prihoda za unos u SAP'!$C$3:$C$501,"=41",'Plan prihoda za unos u SAP'!$K$3:$K$501,"=663")</f>
        <v>0</v>
      </c>
      <c r="I23" s="189">
        <f>SUMIFS('Plan prihoda za unos u SAP'!$G$3:$G$501,'Plan prihoda za unos u SAP'!$C$3:$C$501,"=43",'Plan prihoda za unos u SAP'!$K$3:$K$501,"=663")</f>
        <v>0</v>
      </c>
      <c r="J23" s="189">
        <f>SUMIFS('Plan prihoda za unos u SAP'!$G$3:$G$501,'Plan prihoda za unos u SAP'!$C$3:$C$501,"=51",'Plan prihoda za unos u SAP'!$K$3:$K$501,"=663")</f>
        <v>0</v>
      </c>
      <c r="K23" s="189">
        <f>SUMIFS('Plan prihoda za unos u SAP'!$G$3:$G$501,'Plan prihoda za unos u SAP'!$C$3:$C$501,"=52",'Plan prihoda za unos u SAP'!$K$3:$K$501,"=663")</f>
        <v>0</v>
      </c>
      <c r="L23" s="189">
        <f>SUMIFS('Plan prihoda za unos u SAP'!$G$3:$G$501,'Plan prihoda za unos u SAP'!$C$3:$C$501,"=552",'Plan prihoda za unos u SAP'!$K$3:$K$501,"=663")</f>
        <v>0</v>
      </c>
      <c r="M23" s="189">
        <f>SUMIFS('Plan prihoda za unos u SAP'!$G$3:$G$501,'Plan prihoda za unos u SAP'!$C$3:$C$501,"=559",'Plan prihoda za unos u SAP'!$K$3:$K$501,"=663")</f>
        <v>0</v>
      </c>
      <c r="N23" s="189">
        <f>SUMIFS('Plan prihoda za unos u SAP'!$G$3:$G$501,'Plan prihoda za unos u SAP'!$C$3:$C$501,"=561",'Plan prihoda za unos u SAP'!$K$3:$K$501,"=663")</f>
        <v>0</v>
      </c>
      <c r="O23" s="189">
        <f>SUMIFS('Plan prihoda za unos u SAP'!$G$3:$G$501,'Plan prihoda za unos u SAP'!$C$3:$C$501,"=563",'Plan prihoda za unos u SAP'!$K$3:$K$501,"=663")</f>
        <v>0</v>
      </c>
      <c r="P23" s="189">
        <f>SUMIFS('Plan prihoda za unos u SAP'!$G$3:$G$501,'Plan prihoda za unos u SAP'!$C$3:$C$501,"=573",'Plan prihoda za unos u SAP'!$K$3:$K$501,"=663")</f>
        <v>0</v>
      </c>
      <c r="Q23" s="189">
        <f>SUMIFS('Plan prihoda za unos u SAP'!$G$3:$G$501,'Plan prihoda za unos u SAP'!$C$3:$C$501,"=575",'Plan prihoda za unos u SAP'!$K$3:$K$501,"=663")</f>
        <v>0</v>
      </c>
      <c r="R23" s="189">
        <f>SUMIFS('Plan prihoda za unos u SAP'!$G$3:$G$501,'Plan prihoda za unos u SAP'!$C$3:$C$501,"=576",'Plan prihoda za unos u SAP'!$K$3:$K$501,"=663")</f>
        <v>0</v>
      </c>
      <c r="S23" s="189">
        <f>SUMIFS('Plan prihoda za unos u SAP'!$G$3:$G$501,'Plan prihoda za unos u SAP'!$C$3:$C$501,"=61",'Plan prihoda za unos u SAP'!$K$3:$K$501,"=663")</f>
        <v>0</v>
      </c>
      <c r="T23" s="189">
        <f>SUMIFS('Plan prihoda za unos u SAP'!$G$3:$G$501,'Plan prihoda za unos u SAP'!$C$3:$C$501,"=63",'Plan prihoda za unos u SAP'!$K$3:$K$501,"=663")</f>
        <v>0</v>
      </c>
      <c r="U23" s="189">
        <f>SUMIFS('Plan prihoda za unos u SAP'!$G$3:$G$501,'Plan prihoda za unos u SAP'!$C$3:$C$501,"=71",'Plan prihoda za unos u SAP'!$K$3:$K$501,"=663")</f>
        <v>0</v>
      </c>
      <c r="V23" s="189">
        <f>SUMIFS('Plan prihoda za unos u SAP'!$G$3:$G$501,'Plan prihoda za unos u SAP'!$C$3:$C$501,"=81",'Plan prihoda za unos u SAP'!$K$3:$K$501,"=663")</f>
        <v>0</v>
      </c>
      <c r="W23" s="189">
        <f>SUMIFS('Plan prihoda za unos u SAP'!$G$3:$G$501,'Plan prihoda za unos u SAP'!$C$3:$C$501,"=83",'Plan prihoda za unos u SAP'!$K$3:$K$501,"=663")</f>
        <v>0</v>
      </c>
    </row>
    <row r="24" spans="1:23" s="90" customFormat="1" ht="25.5">
      <c r="A24" s="90">
        <v>2021</v>
      </c>
      <c r="B24" s="95" t="s">
        <v>300</v>
      </c>
      <c r="C24" s="96" t="s">
        <v>260</v>
      </c>
      <c r="D24" s="70">
        <f t="shared" si="1"/>
        <v>7674900</v>
      </c>
      <c r="E24" s="189">
        <f>SUMIFS('Plan prihoda za unos u SAP'!$G$3:$G$501,'Plan prihoda za unos u SAP'!$C$3:$C$501,"=11",'Plan prihoda za unos u SAP'!$K$3:$K$501,"=671")</f>
        <v>7674900</v>
      </c>
      <c r="F24" s="189">
        <f>SUMIFS('Plan prihoda za unos u SAP'!$G$3:$G$501,'Plan prihoda za unos u SAP'!$C$3:$C$501,"=12",'Plan prihoda za unos u SAP'!$K$3:$K$501,"=671")</f>
        <v>0</v>
      </c>
      <c r="G24" s="189">
        <f>SUMIFS('Plan prihoda za unos u SAP'!$G$3:$G$501,'Plan prihoda za unos u SAP'!$C$3:$C$501,"=31",'Plan prihoda za unos u SAP'!$K$3:$K$501,"=671")</f>
        <v>0</v>
      </c>
      <c r="H24" s="189">
        <f>SUMIFS('Plan prihoda za unos u SAP'!$G$3:$G$501,'Plan prihoda za unos u SAP'!$C$3:$C$501,"=41",'Plan prihoda za unos u SAP'!$K$3:$K$501,"=671")</f>
        <v>0</v>
      </c>
      <c r="I24" s="189">
        <f>SUMIFS('Plan prihoda za unos u SAP'!$G$3:$G$501,'Plan prihoda za unos u SAP'!$C$3:$C$501,"=43",'Plan prihoda za unos u SAP'!$K$3:$K$501,"=671")</f>
        <v>0</v>
      </c>
      <c r="J24" s="189">
        <f>SUMIFS('Plan prihoda za unos u SAP'!$G$3:$G$501,'Plan prihoda za unos u SAP'!$C$3:$C$501,"=51",'Plan prihoda za unos u SAP'!$K$3:$K$501,"=671")</f>
        <v>0</v>
      </c>
      <c r="K24" s="189">
        <f>SUMIFS('Plan prihoda za unos u SAP'!$G$3:$G$501,'Plan prihoda za unos u SAP'!$C$3:$C$501,"=52",'Plan prihoda za unos u SAP'!$K$3:$K$501,"=671")</f>
        <v>0</v>
      </c>
      <c r="L24" s="189">
        <f>SUMIFS('Plan prihoda za unos u SAP'!$G$3:$G$501,'Plan prihoda za unos u SAP'!$C$3:$C$501,"=552",'Plan prihoda za unos u SAP'!$K$3:$K$501,"=671")</f>
        <v>0</v>
      </c>
      <c r="M24" s="189">
        <f>SUMIFS('Plan prihoda za unos u SAP'!$G$3:$G$501,'Plan prihoda za unos u SAP'!$C$3:$C$501,"=559",'Plan prihoda za unos u SAP'!$K$3:$K$501,"=671")</f>
        <v>0</v>
      </c>
      <c r="N24" s="189">
        <f>SUMIFS('Plan prihoda za unos u SAP'!$G$3:$G$501,'Plan prihoda za unos u SAP'!$C$3:$C$501,"=561",'Plan prihoda za unos u SAP'!$K$3:$K$501,"=671")</f>
        <v>0</v>
      </c>
      <c r="O24" s="189">
        <f>SUMIFS('Plan prihoda za unos u SAP'!$G$3:$G$501,'Plan prihoda za unos u SAP'!$C$3:$C$501,"=563",'Plan prihoda za unos u SAP'!$K$3:$K$501,"=671")</f>
        <v>0</v>
      </c>
      <c r="P24" s="189">
        <f>SUMIFS('Plan prihoda za unos u SAP'!$G$3:$G$501,'Plan prihoda za unos u SAP'!$C$3:$C$501,"=573",'Plan prihoda za unos u SAP'!$K$3:$K$501,"=671")</f>
        <v>0</v>
      </c>
      <c r="Q24" s="189">
        <f>SUMIFS('Plan prihoda za unos u SAP'!$G$3:$G$501,'Plan prihoda za unos u SAP'!$C$3:$C$501,"=575",'Plan prihoda za unos u SAP'!$K$3:$K$501,"=671")</f>
        <v>0</v>
      </c>
      <c r="R24" s="189">
        <f>SUMIFS('Plan prihoda za unos u SAP'!$G$3:$G$501,'Plan prihoda za unos u SAP'!$C$3:$C$501,"=576",'Plan prihoda za unos u SAP'!$K$3:$K$501,"=671")</f>
        <v>0</v>
      </c>
      <c r="S24" s="189">
        <f>SUMIFS('Plan prihoda za unos u SAP'!$G$3:$G$501,'Plan prihoda za unos u SAP'!$C$3:$C$501,"=61",'Plan prihoda za unos u SAP'!$K$3:$K$501,"=671")</f>
        <v>0</v>
      </c>
      <c r="T24" s="189">
        <f>SUMIFS('Plan prihoda za unos u SAP'!$G$3:$G$501,'Plan prihoda za unos u SAP'!$C$3:$C$501,"=63",'Plan prihoda za unos u SAP'!$K$3:$K$501,"=671")</f>
        <v>0</v>
      </c>
      <c r="U24" s="189">
        <f>SUMIFS('Plan prihoda za unos u SAP'!$G$3:$G$501,'Plan prihoda za unos u SAP'!$C$3:$C$501,"=71",'Plan prihoda za unos u SAP'!$K$3:$K$501,"=671")</f>
        <v>0</v>
      </c>
      <c r="V24" s="189">
        <f>SUMIFS('Plan prihoda za unos u SAP'!$G$3:$G$501,'Plan prihoda za unos u SAP'!$C$3:$C$501,"=81",'Plan prihoda za unos u SAP'!$K$3:$K$501,"=671")</f>
        <v>0</v>
      </c>
      <c r="W24" s="189">
        <f>SUMIFS('Plan prihoda za unos u SAP'!$G$3:$G$501,'Plan prihoda za unos u SAP'!$C$3:$C$501,"=83",'Plan prihoda za unos u SAP'!$K$3:$K$501,"=671")</f>
        <v>0</v>
      </c>
    </row>
    <row r="25" spans="1:23" s="90" customFormat="1">
      <c r="A25" s="90">
        <v>2021</v>
      </c>
      <c r="B25" s="95" t="s">
        <v>301</v>
      </c>
      <c r="C25" s="96" t="s">
        <v>302</v>
      </c>
      <c r="D25" s="70">
        <f t="shared" si="1"/>
        <v>0</v>
      </c>
      <c r="E25" s="189">
        <f>SUMIFS('Plan prihoda za unos u SAP'!$G$3:$G$501,'Plan prihoda za unos u SAP'!$C$3:$C$501,"=11",'Plan prihoda za unos u SAP'!$K$3:$K$501,"=681")</f>
        <v>0</v>
      </c>
      <c r="F25" s="189">
        <f>SUMIFS('Plan prihoda za unos u SAP'!$G$3:$G$501,'Plan prihoda za unos u SAP'!$C$3:$C$501,"=12",'Plan prihoda za unos u SAP'!$K$3:$K$501,"=681")</f>
        <v>0</v>
      </c>
      <c r="G25" s="189">
        <f>SUMIFS('Plan prihoda za unos u SAP'!$G$3:$G$501,'Plan prihoda za unos u SAP'!$C$3:$C$501,"=31",'Plan prihoda za unos u SAP'!$K$3:$K$501,"=681")</f>
        <v>0</v>
      </c>
      <c r="H25" s="189">
        <f>SUMIFS('Plan prihoda za unos u SAP'!$G$3:$G$501,'Plan prihoda za unos u SAP'!$C$3:$C$501,"=41",'Plan prihoda za unos u SAP'!$K$3:$K$501,"=681")</f>
        <v>0</v>
      </c>
      <c r="I25" s="189">
        <f>SUMIFS('Plan prihoda za unos u SAP'!$G$3:$G$501,'Plan prihoda za unos u SAP'!$C$3:$C$501,"=43",'Plan prihoda za unos u SAP'!$K$3:$K$501,"=681")</f>
        <v>0</v>
      </c>
      <c r="J25" s="189">
        <f>SUMIFS('Plan prihoda za unos u SAP'!$G$3:$G$501,'Plan prihoda za unos u SAP'!$C$3:$C$501,"=51",'Plan prihoda za unos u SAP'!$K$3:$K$501,"=681")</f>
        <v>0</v>
      </c>
      <c r="K25" s="189">
        <f>SUMIFS('Plan prihoda za unos u SAP'!$G$3:$G$501,'Plan prihoda za unos u SAP'!$C$3:$C$501,"=52",'Plan prihoda za unos u SAP'!$K$3:$K$501,"=681")</f>
        <v>0</v>
      </c>
      <c r="L25" s="189">
        <f>SUMIFS('Plan prihoda za unos u SAP'!$G$3:$G$501,'Plan prihoda za unos u SAP'!$C$3:$C$501,"=552",'Plan prihoda za unos u SAP'!$K$3:$K$501,"=681")</f>
        <v>0</v>
      </c>
      <c r="M25" s="189">
        <f>SUMIFS('Plan prihoda za unos u SAP'!$G$3:$G$501,'Plan prihoda za unos u SAP'!$C$3:$C$501,"=559",'Plan prihoda za unos u SAP'!$K$3:$K$501,"=681")</f>
        <v>0</v>
      </c>
      <c r="N25" s="189">
        <f>SUMIFS('Plan prihoda za unos u SAP'!$G$3:$G$501,'Plan prihoda za unos u SAP'!$C$3:$C$501,"=561",'Plan prihoda za unos u SAP'!$K$3:$K$501,"=681")</f>
        <v>0</v>
      </c>
      <c r="O25" s="189">
        <f>SUMIFS('Plan prihoda za unos u SAP'!$G$3:$G$501,'Plan prihoda za unos u SAP'!$C$3:$C$501,"=563",'Plan prihoda za unos u SAP'!$K$3:$K$501,"=681")</f>
        <v>0</v>
      </c>
      <c r="P25" s="189">
        <f>SUMIFS('Plan prihoda za unos u SAP'!$G$3:$G$501,'Plan prihoda za unos u SAP'!$C$3:$C$501,"=573",'Plan prihoda za unos u SAP'!$K$3:$K$501,"=681")</f>
        <v>0</v>
      </c>
      <c r="Q25" s="189">
        <f>SUMIFS('Plan prihoda za unos u SAP'!$G$3:$G$501,'Plan prihoda za unos u SAP'!$C$3:$C$501,"=575",'Plan prihoda za unos u SAP'!$K$3:$K$501,"=681")</f>
        <v>0</v>
      </c>
      <c r="R25" s="189">
        <f>SUMIFS('Plan prihoda za unos u SAP'!$G$3:$G$501,'Plan prihoda za unos u SAP'!$C$3:$C$501,"=576",'Plan prihoda za unos u SAP'!$K$3:$K$501,"=681")</f>
        <v>0</v>
      </c>
      <c r="S25" s="189">
        <f>SUMIFS('Plan prihoda za unos u SAP'!$G$3:$G$501,'Plan prihoda za unos u SAP'!$C$3:$C$501,"=61",'Plan prihoda za unos u SAP'!$K$3:$K$501,"=681")</f>
        <v>0</v>
      </c>
      <c r="T25" s="189">
        <f>SUMIFS('Plan prihoda za unos u SAP'!$G$3:$G$501,'Plan prihoda za unos u SAP'!$C$3:$C$501,"=63",'Plan prihoda za unos u SAP'!$K$3:$K$501,"=681")</f>
        <v>0</v>
      </c>
      <c r="U25" s="189">
        <f>SUMIFS('Plan prihoda za unos u SAP'!$G$3:$G$501,'Plan prihoda za unos u SAP'!$C$3:$C$501,"=71",'Plan prihoda za unos u SAP'!$K$3:$K$501,"=681")</f>
        <v>0</v>
      </c>
      <c r="V25" s="189">
        <f>SUMIFS('Plan prihoda za unos u SAP'!$G$3:$G$501,'Plan prihoda za unos u SAP'!$C$3:$C$501,"=81",'Plan prihoda za unos u SAP'!$K$3:$K$501,"=681")</f>
        <v>0</v>
      </c>
      <c r="W25" s="189">
        <f>SUMIFS('Plan prihoda za unos u SAP'!$G$3:$G$501,'Plan prihoda za unos u SAP'!$C$3:$C$501,"=83",'Plan prihoda za unos u SAP'!$K$3:$K$501,"=681")</f>
        <v>0</v>
      </c>
    </row>
    <row r="26" spans="1:23" s="90" customFormat="1">
      <c r="A26" s="90">
        <v>2021</v>
      </c>
      <c r="B26" s="95" t="s">
        <v>303</v>
      </c>
      <c r="C26" s="96" t="s">
        <v>304</v>
      </c>
      <c r="D26" s="70">
        <f t="shared" si="1"/>
        <v>5000</v>
      </c>
      <c r="E26" s="189">
        <f>SUMIFS('Plan prihoda za unos u SAP'!$G$3:$G$501,'Plan prihoda za unos u SAP'!$C$3:$C$501,"=11",'Plan prihoda za unos u SAP'!$K$3:$K$501,"=683")</f>
        <v>0</v>
      </c>
      <c r="F26" s="189">
        <f>SUMIFS('Plan prihoda za unos u SAP'!$G$3:$G$501,'Plan prihoda za unos u SAP'!$C$3:$C$501,"=12",'Plan prihoda za unos u SAP'!$K$3:$K$501,"=683")</f>
        <v>0</v>
      </c>
      <c r="G26" s="189">
        <f>SUMIFS('Plan prihoda za unos u SAP'!$G$3:$G$501,'Plan prihoda za unos u SAP'!$C$3:$C$501,"=31",'Plan prihoda za unos u SAP'!$K$3:$K$501,"=683")</f>
        <v>5000</v>
      </c>
      <c r="H26" s="189">
        <f>SUMIFS('Plan prihoda za unos u SAP'!$G$3:$G$501,'Plan prihoda za unos u SAP'!$C$3:$C$501,"=41",'Plan prihoda za unos u SAP'!$K$3:$K$501,"=683")</f>
        <v>0</v>
      </c>
      <c r="I26" s="189">
        <f>SUMIFS('Plan prihoda za unos u SAP'!$G$3:$G$501,'Plan prihoda za unos u SAP'!$C$3:$C$501,"=43",'Plan prihoda za unos u SAP'!$K$3:$K$501,"=683")</f>
        <v>0</v>
      </c>
      <c r="J26" s="189">
        <f>SUMIFS('Plan prihoda za unos u SAP'!$G$3:$G$501,'Plan prihoda za unos u SAP'!$C$3:$C$501,"=51",'Plan prihoda za unos u SAP'!$K$3:$K$501,"=683")</f>
        <v>0</v>
      </c>
      <c r="K26" s="189">
        <f>SUMIFS('Plan prihoda za unos u SAP'!$G$3:$G$501,'Plan prihoda za unos u SAP'!$C$3:$C$501,"=52",'Plan prihoda za unos u SAP'!$K$3:$K$501,"=683")</f>
        <v>0</v>
      </c>
      <c r="L26" s="189">
        <f>SUMIFS('Plan prihoda za unos u SAP'!$G$3:$G$501,'Plan prihoda za unos u SAP'!$C$3:$C$501,"=552",'Plan prihoda za unos u SAP'!$K$3:$K$501,"=683")</f>
        <v>0</v>
      </c>
      <c r="M26" s="189">
        <f>SUMIFS('Plan prihoda za unos u SAP'!$G$3:$G$501,'Plan prihoda za unos u SAP'!$C$3:$C$501,"=559",'Plan prihoda za unos u SAP'!$K$3:$K$501,"=683")</f>
        <v>0</v>
      </c>
      <c r="N26" s="189">
        <f>SUMIFS('Plan prihoda za unos u SAP'!$G$3:$G$501,'Plan prihoda za unos u SAP'!$C$3:$C$501,"=561",'Plan prihoda za unos u SAP'!$K$3:$K$501,"=683")</f>
        <v>0</v>
      </c>
      <c r="O26" s="189">
        <f>SUMIFS('Plan prihoda za unos u SAP'!$G$3:$G$501,'Plan prihoda za unos u SAP'!$C$3:$C$501,"=563",'Plan prihoda za unos u SAP'!$K$3:$K$501,"=683")</f>
        <v>0</v>
      </c>
      <c r="P26" s="189">
        <f>SUMIFS('Plan prihoda za unos u SAP'!$G$3:$G$501,'Plan prihoda za unos u SAP'!$C$3:$C$501,"=573",'Plan prihoda za unos u SAP'!$K$3:$K$501,"=683")</f>
        <v>0</v>
      </c>
      <c r="Q26" s="189">
        <f>SUMIFS('Plan prihoda za unos u SAP'!$G$3:$G$501,'Plan prihoda za unos u SAP'!$C$3:$C$501,"=575",'Plan prihoda za unos u SAP'!$K$3:$K$501,"=683")</f>
        <v>0</v>
      </c>
      <c r="R26" s="189">
        <f>SUMIFS('Plan prihoda za unos u SAP'!$G$3:$G$501,'Plan prihoda za unos u SAP'!$C$3:$C$501,"=576",'Plan prihoda za unos u SAP'!$K$3:$K$501,"=683")</f>
        <v>0</v>
      </c>
      <c r="S26" s="189">
        <f>SUMIFS('Plan prihoda za unos u SAP'!$G$3:$G$501,'Plan prihoda za unos u SAP'!$C$3:$C$501,"=61",'Plan prihoda za unos u SAP'!$K$3:$K$501,"=683")</f>
        <v>0</v>
      </c>
      <c r="T26" s="189">
        <f>SUMIFS('Plan prihoda za unos u SAP'!$G$3:$G$501,'Plan prihoda za unos u SAP'!$C$3:$C$501,"=63",'Plan prihoda za unos u SAP'!$K$3:$K$501,"=683")</f>
        <v>0</v>
      </c>
      <c r="U26" s="189">
        <f>SUMIFS('Plan prihoda za unos u SAP'!$G$3:$G$501,'Plan prihoda za unos u SAP'!$C$3:$C$501,"=71",'Plan prihoda za unos u SAP'!$K$3:$K$501,"=683")</f>
        <v>0</v>
      </c>
      <c r="V26" s="189">
        <f>SUMIFS('Plan prihoda za unos u SAP'!$G$3:$G$501,'Plan prihoda za unos u SAP'!$C$3:$C$501,"=81",'Plan prihoda za unos u SAP'!$K$3:$K$501,"=683")</f>
        <v>0</v>
      </c>
      <c r="W26" s="189">
        <f>SUMIFS('Plan prihoda za unos u SAP'!$G$3:$G$501,'Plan prihoda za unos u SAP'!$C$3:$C$501,"=83",'Plan prihoda za unos u SAP'!$K$3:$K$501,"=683")</f>
        <v>0</v>
      </c>
    </row>
    <row r="27" spans="1:23" s="90" customFormat="1">
      <c r="A27" s="90">
        <v>2021</v>
      </c>
      <c r="B27" s="98" t="s">
        <v>305</v>
      </c>
      <c r="C27" s="99" t="s">
        <v>306</v>
      </c>
      <c r="D27" s="70">
        <f t="shared" si="1"/>
        <v>8205000</v>
      </c>
      <c r="E27" s="4">
        <f>SUM(E11:E26)</f>
        <v>7674900</v>
      </c>
      <c r="F27" s="4">
        <f t="shared" ref="F27:W27" si="4">SUM(F11:F26)</f>
        <v>0</v>
      </c>
      <c r="G27" s="4">
        <f t="shared" si="4"/>
        <v>70100</v>
      </c>
      <c r="H27" s="4">
        <f t="shared" si="4"/>
        <v>0</v>
      </c>
      <c r="I27" s="4">
        <f t="shared" si="4"/>
        <v>440000</v>
      </c>
      <c r="J27" s="4">
        <f t="shared" si="4"/>
        <v>0</v>
      </c>
      <c r="K27" s="4">
        <f t="shared" si="4"/>
        <v>20000</v>
      </c>
      <c r="L27" s="4">
        <f t="shared" si="4"/>
        <v>0</v>
      </c>
      <c r="M27" s="4">
        <f t="shared" si="4"/>
        <v>0</v>
      </c>
      <c r="N27" s="4">
        <f t="shared" si="4"/>
        <v>0</v>
      </c>
      <c r="O27" s="4">
        <f t="shared" si="4"/>
        <v>0</v>
      </c>
      <c r="P27" s="4">
        <f t="shared" si="4"/>
        <v>0</v>
      </c>
      <c r="Q27" s="4">
        <f>SUM(Q11:Q26)</f>
        <v>0</v>
      </c>
      <c r="R27" s="4">
        <f t="shared" ref="R27" si="5">SUM(R11:R26)</f>
        <v>0</v>
      </c>
      <c r="S27" s="4">
        <f>SUM(S11:S26)</f>
        <v>0</v>
      </c>
      <c r="T27" s="4">
        <f t="shared" si="4"/>
        <v>0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90" customFormat="1">
      <c r="A28" s="90">
        <v>2021</v>
      </c>
      <c r="B28" s="95" t="s">
        <v>318</v>
      </c>
      <c r="C28" s="100" t="s">
        <v>319</v>
      </c>
      <c r="D28" s="70">
        <f t="shared" si="1"/>
        <v>0</v>
      </c>
      <c r="E28" s="189">
        <f>SUMIFS('Plan prihoda za unos u SAP'!$G$3:$G$501,'Plan prihoda za unos u SAP'!$C$3:$C$501,"=11",'Plan prihoda za unos u SAP'!$K$3:$K$501,"=711")</f>
        <v>0</v>
      </c>
      <c r="F28" s="189">
        <f>SUMIFS('Plan prihoda za unos u SAP'!$G$3:$G$501,'Plan prihoda za unos u SAP'!$C$3:$C$501,"=12",'Plan prihoda za unos u SAP'!$K$3:$K$501,"=711")</f>
        <v>0</v>
      </c>
      <c r="G28" s="189">
        <f>SUMIFS('Plan prihoda za unos u SAP'!$G$3:$G$501,'Plan prihoda za unos u SAP'!$C$3:$C$501,"=31",'Plan prihoda za unos u SAP'!$K$3:$K$501,"=711")</f>
        <v>0</v>
      </c>
      <c r="H28" s="189">
        <f>SUMIFS('Plan prihoda za unos u SAP'!$G$3:$G$501,'Plan prihoda za unos u SAP'!$C$3:$C$501,"=41",'Plan prihoda za unos u SAP'!$K$3:$K$501,"=711")</f>
        <v>0</v>
      </c>
      <c r="I28" s="189">
        <f>SUMIFS('Plan prihoda za unos u SAP'!$G$3:$G$501,'Plan prihoda za unos u SAP'!$C$3:$C$501,"=43",'Plan prihoda za unos u SAP'!$K$3:$K$501,"=711")</f>
        <v>0</v>
      </c>
      <c r="J28" s="189">
        <f>SUMIFS('Plan prihoda za unos u SAP'!$G$3:$G$501,'Plan prihoda za unos u SAP'!$C$3:$C$501,"=51",'Plan prihoda za unos u SAP'!$K$3:$K$501,"=711")</f>
        <v>0</v>
      </c>
      <c r="K28" s="189">
        <f>SUMIFS('Plan prihoda za unos u SAP'!$G$3:$G$501,'Plan prihoda za unos u SAP'!$C$3:$C$501,"=52",'Plan prihoda za unos u SAP'!$K$3:$K$501,"=711")</f>
        <v>0</v>
      </c>
      <c r="L28" s="189">
        <f>SUMIFS('Plan prihoda za unos u SAP'!$G$3:$G$501,'Plan prihoda za unos u SAP'!$C$3:$C$501,"=552",'Plan prihoda za unos u SAP'!$K$3:$K$501,"=711")</f>
        <v>0</v>
      </c>
      <c r="M28" s="189">
        <f>SUMIFS('Plan prihoda za unos u SAP'!$G$3:$G$501,'Plan prihoda za unos u SAP'!$C$3:$C$501,"=559",'Plan prihoda za unos u SAP'!$K$3:$K$501,"=711")</f>
        <v>0</v>
      </c>
      <c r="N28" s="189">
        <f>SUMIFS('Plan prihoda za unos u SAP'!$G$3:$G$501,'Plan prihoda za unos u SAP'!$C$3:$C$501,"=561",'Plan prihoda za unos u SAP'!$K$3:$K$501,"=711")</f>
        <v>0</v>
      </c>
      <c r="O28" s="189">
        <f>SUMIFS('Plan prihoda za unos u SAP'!$G$3:$G$501,'Plan prihoda za unos u SAP'!$C$3:$C$501,"=563",'Plan prihoda za unos u SAP'!$K$3:$K$501,"=711")</f>
        <v>0</v>
      </c>
      <c r="P28" s="189">
        <f>SUMIFS('Plan prihoda za unos u SAP'!$G$3:$G$501,'Plan prihoda za unos u SAP'!$C$3:$C$501,"=573",'Plan prihoda za unos u SAP'!$K$3:$K$501,"=711")</f>
        <v>0</v>
      </c>
      <c r="Q28" s="189">
        <f>SUMIFS('Plan prihoda za unos u SAP'!$G$3:$G$501,'Plan prihoda za unos u SAP'!$C$3:$C$501,"=575",'Plan prihoda za unos u SAP'!$K$3:$K$501,"=711")</f>
        <v>0</v>
      </c>
      <c r="R28" s="189">
        <f>SUMIFS('Plan prihoda za unos u SAP'!$G$3:$G$501,'Plan prihoda za unos u SAP'!$C$3:$C$501,"=576",'Plan prihoda za unos u SAP'!$K$3:$K$501,"=711")</f>
        <v>0</v>
      </c>
      <c r="S28" s="189">
        <f>SUMIFS('Plan prihoda za unos u SAP'!$G$3:$G$501,'Plan prihoda za unos u SAP'!$C$3:$C$501,"=61",'Plan prihoda za unos u SAP'!$K$3:$K$501,"=711")</f>
        <v>0</v>
      </c>
      <c r="T28" s="189">
        <f>SUMIFS('Plan prihoda za unos u SAP'!$G$3:$G$501,'Plan prihoda za unos u SAP'!$C$3:$C$501,"=63",'Plan prihoda za unos u SAP'!$K$3:$K$501,"=711")</f>
        <v>0</v>
      </c>
      <c r="U28" s="189">
        <f>SUMIFS('Plan prihoda za unos u SAP'!$G$3:$G$501,'Plan prihoda za unos u SAP'!$C$3:$C$501,"=71",'Plan prihoda za unos u SAP'!$K$3:$K$501,"=711")</f>
        <v>0</v>
      </c>
      <c r="V28" s="189">
        <f>SUMIFS('Plan prihoda za unos u SAP'!$G$3:$G$501,'Plan prihoda za unos u SAP'!$C$3:$C$501,"=81",'Plan prihoda za unos u SAP'!$K$3:$K$501,"=711")</f>
        <v>0</v>
      </c>
      <c r="W28" s="189">
        <f>SUMIFS('Plan prihoda za unos u SAP'!$G$3:$G$501,'Plan prihoda za unos u SAP'!$C$3:$C$501,"=83",'Plan prihoda za unos u SAP'!$K$3:$K$501,"=711")</f>
        <v>0</v>
      </c>
    </row>
    <row r="29" spans="1:23" s="90" customFormat="1">
      <c r="A29" s="90">
        <v>2021</v>
      </c>
      <c r="B29" s="95" t="s">
        <v>320</v>
      </c>
      <c r="C29" s="100" t="s">
        <v>321</v>
      </c>
      <c r="D29" s="70">
        <f t="shared" si="1"/>
        <v>0</v>
      </c>
      <c r="E29" s="189">
        <f>SUMIFS('Plan prihoda za unos u SAP'!$G$3:$G$501,'Plan prihoda za unos u SAP'!$C$3:$C$501,"=11",'Plan prihoda za unos u SAP'!$K$3:$K$501,"=712")</f>
        <v>0</v>
      </c>
      <c r="F29" s="189">
        <f>SUMIFS('Plan prihoda za unos u SAP'!$G$3:$G$501,'Plan prihoda za unos u SAP'!$C$3:$C$501,"=12",'Plan prihoda za unos u SAP'!$K$3:$K$501,"=712")</f>
        <v>0</v>
      </c>
      <c r="G29" s="189">
        <f>SUMIFS('Plan prihoda za unos u SAP'!$G$3:$G$501,'Plan prihoda za unos u SAP'!$C$3:$C$501,"=31",'Plan prihoda za unos u SAP'!$K$3:$K$501,"=712")</f>
        <v>0</v>
      </c>
      <c r="H29" s="189">
        <f>SUMIFS('Plan prihoda za unos u SAP'!$G$3:$G$501,'Plan prihoda za unos u SAP'!$C$3:$C$501,"=41",'Plan prihoda za unos u SAP'!$K$3:$K$501,"=712")</f>
        <v>0</v>
      </c>
      <c r="I29" s="189">
        <f>SUMIFS('Plan prihoda za unos u SAP'!$G$3:$G$501,'Plan prihoda za unos u SAP'!$C$3:$C$501,"=43",'Plan prihoda za unos u SAP'!$K$3:$K$501,"=712")</f>
        <v>0</v>
      </c>
      <c r="J29" s="189">
        <f>SUMIFS('Plan prihoda za unos u SAP'!$G$3:$G$501,'Plan prihoda za unos u SAP'!$C$3:$C$501,"=51",'Plan prihoda za unos u SAP'!$K$3:$K$501,"=712")</f>
        <v>0</v>
      </c>
      <c r="K29" s="189">
        <f>SUMIFS('Plan prihoda za unos u SAP'!$G$3:$G$501,'Plan prihoda za unos u SAP'!$C$3:$C$501,"=52",'Plan prihoda za unos u SAP'!$K$3:$K$501,"=712")</f>
        <v>0</v>
      </c>
      <c r="L29" s="189">
        <f>SUMIFS('Plan prihoda za unos u SAP'!$G$3:$G$501,'Plan prihoda za unos u SAP'!$C$3:$C$501,"=552",'Plan prihoda za unos u SAP'!$K$3:$K$501,"=712")</f>
        <v>0</v>
      </c>
      <c r="M29" s="189">
        <f>SUMIFS('Plan prihoda za unos u SAP'!$G$3:$G$501,'Plan prihoda za unos u SAP'!$C$3:$C$501,"=559",'Plan prihoda za unos u SAP'!$K$3:$K$501,"=712")</f>
        <v>0</v>
      </c>
      <c r="N29" s="189">
        <f>SUMIFS('Plan prihoda za unos u SAP'!$G$3:$G$501,'Plan prihoda za unos u SAP'!$C$3:$C$501,"=561",'Plan prihoda za unos u SAP'!$K$3:$K$501,"=712")</f>
        <v>0</v>
      </c>
      <c r="O29" s="189">
        <f>SUMIFS('Plan prihoda za unos u SAP'!$G$3:$G$501,'Plan prihoda za unos u SAP'!$C$3:$C$501,"=563",'Plan prihoda za unos u SAP'!$K$3:$K$501,"=712")</f>
        <v>0</v>
      </c>
      <c r="P29" s="189">
        <f>SUMIFS('Plan prihoda za unos u SAP'!$G$3:$G$501,'Plan prihoda za unos u SAP'!$C$3:$C$501,"=573",'Plan prihoda za unos u SAP'!$K$3:$K$501,"=712")</f>
        <v>0</v>
      </c>
      <c r="Q29" s="189">
        <f>SUMIFS('Plan prihoda za unos u SAP'!$G$3:$G$501,'Plan prihoda za unos u SAP'!$C$3:$C$501,"=575",'Plan prihoda za unos u SAP'!$K$3:$K$501,"=712")</f>
        <v>0</v>
      </c>
      <c r="R29" s="189">
        <f>SUMIFS('Plan prihoda za unos u SAP'!$G$3:$G$501,'Plan prihoda za unos u SAP'!$C$3:$C$501,"=576",'Plan prihoda za unos u SAP'!$K$3:$K$501,"=712")</f>
        <v>0</v>
      </c>
      <c r="S29" s="189">
        <f>SUMIFS('Plan prihoda za unos u SAP'!$G$3:$G$501,'Plan prihoda za unos u SAP'!$C$3:$C$501,"=61",'Plan prihoda za unos u SAP'!$K$3:$K$501,"=712")</f>
        <v>0</v>
      </c>
      <c r="T29" s="189">
        <f>SUMIFS('Plan prihoda za unos u SAP'!$G$3:$G$501,'Plan prihoda za unos u SAP'!$C$3:$C$501,"=63",'Plan prihoda za unos u SAP'!$K$3:$K$501,"=712")</f>
        <v>0</v>
      </c>
      <c r="U29" s="189">
        <f>SUMIFS('Plan prihoda za unos u SAP'!$G$3:$G$501,'Plan prihoda za unos u SAP'!$C$3:$C$501,"=71",'Plan prihoda za unos u SAP'!$K$3:$K$501,"=712")</f>
        <v>0</v>
      </c>
      <c r="V29" s="189">
        <f>SUMIFS('Plan prihoda za unos u SAP'!$G$3:$G$501,'Plan prihoda za unos u SAP'!$C$3:$C$501,"=81",'Plan prihoda za unos u SAP'!$K$3:$K$501,"=712")</f>
        <v>0</v>
      </c>
      <c r="W29" s="189">
        <f>SUMIFS('Plan prihoda za unos u SAP'!$G$3:$G$501,'Plan prihoda za unos u SAP'!$C$3:$C$501,"=83",'Plan prihoda za unos u SAP'!$K$3:$K$501,"=712")</f>
        <v>0</v>
      </c>
    </row>
    <row r="30" spans="1:23" s="90" customFormat="1">
      <c r="A30" s="90">
        <v>2021</v>
      </c>
      <c r="B30" s="95" t="s">
        <v>307</v>
      </c>
      <c r="C30" s="100" t="s">
        <v>308</v>
      </c>
      <c r="D30" s="70">
        <f t="shared" si="1"/>
        <v>0</v>
      </c>
      <c r="E30" s="189">
        <f>SUMIFS('Plan prihoda za unos u SAP'!$G$3:$G$501,'Plan prihoda za unos u SAP'!$C$3:$C$501,"=11",'Plan prihoda za unos u SAP'!$K$3:$K$501,"=721")</f>
        <v>0</v>
      </c>
      <c r="F30" s="189">
        <f>SUMIFS('Plan prihoda za unos u SAP'!$G$3:$G$501,'Plan prihoda za unos u SAP'!$C$3:$C$501,"=12",'Plan prihoda za unos u SAP'!$K$3:$K$501,"=721")</f>
        <v>0</v>
      </c>
      <c r="G30" s="189">
        <f>SUMIFS('Plan prihoda za unos u SAP'!$G$3:$G$501,'Plan prihoda za unos u SAP'!$C$3:$C$501,"=31",'Plan prihoda za unos u SAP'!$K$3:$K$501,"=721")</f>
        <v>0</v>
      </c>
      <c r="H30" s="189">
        <f>SUMIFS('Plan prihoda za unos u SAP'!$G$3:$G$501,'Plan prihoda za unos u SAP'!$C$3:$C$501,"=41",'Plan prihoda za unos u SAP'!$K$3:$K$501,"=721")</f>
        <v>0</v>
      </c>
      <c r="I30" s="189">
        <f>SUMIFS('Plan prihoda za unos u SAP'!$G$3:$G$501,'Plan prihoda za unos u SAP'!$C$3:$C$501,"=43",'Plan prihoda za unos u SAP'!$K$3:$K$501,"=721")</f>
        <v>0</v>
      </c>
      <c r="J30" s="189">
        <f>SUMIFS('Plan prihoda za unos u SAP'!$G$3:$G$501,'Plan prihoda za unos u SAP'!$C$3:$C$501,"=51",'Plan prihoda za unos u SAP'!$K$3:$K$501,"=721")</f>
        <v>0</v>
      </c>
      <c r="K30" s="189">
        <f>SUMIFS('Plan prihoda za unos u SAP'!$G$3:$G$501,'Plan prihoda za unos u SAP'!$C$3:$C$501,"=52",'Plan prihoda za unos u SAP'!$K$3:$K$501,"=721")</f>
        <v>0</v>
      </c>
      <c r="L30" s="189">
        <f>SUMIFS('Plan prihoda za unos u SAP'!$G$3:$G$501,'Plan prihoda za unos u SAP'!$C$3:$C$501,"=552",'Plan prihoda za unos u SAP'!$K$3:$K$501,"=721")</f>
        <v>0</v>
      </c>
      <c r="M30" s="189">
        <f>SUMIFS('Plan prihoda za unos u SAP'!$G$3:$G$501,'Plan prihoda za unos u SAP'!$C$3:$C$501,"=559",'Plan prihoda za unos u SAP'!$K$3:$K$501,"=721")</f>
        <v>0</v>
      </c>
      <c r="N30" s="189">
        <f>SUMIFS('Plan prihoda za unos u SAP'!$G$3:$G$501,'Plan prihoda za unos u SAP'!$C$3:$C$501,"=561",'Plan prihoda za unos u SAP'!$K$3:$K$501,"=721")</f>
        <v>0</v>
      </c>
      <c r="O30" s="189">
        <f>SUMIFS('Plan prihoda za unos u SAP'!$G$3:$G$501,'Plan prihoda za unos u SAP'!$C$3:$C$501,"=563",'Plan prihoda za unos u SAP'!$K$3:$K$501,"=721")</f>
        <v>0</v>
      </c>
      <c r="P30" s="189">
        <f>SUMIFS('Plan prihoda za unos u SAP'!$G$3:$G$501,'Plan prihoda za unos u SAP'!$C$3:$C$501,"=573",'Plan prihoda za unos u SAP'!$K$3:$K$501,"=721")</f>
        <v>0</v>
      </c>
      <c r="Q30" s="189">
        <f>SUMIFS('Plan prihoda za unos u SAP'!$G$3:$G$501,'Plan prihoda za unos u SAP'!$C$3:$C$501,"=575",'Plan prihoda za unos u SAP'!$K$3:$K$501,"=721")</f>
        <v>0</v>
      </c>
      <c r="R30" s="189">
        <f>SUMIFS('Plan prihoda za unos u SAP'!$G$3:$G$501,'Plan prihoda za unos u SAP'!$C$3:$C$501,"=576",'Plan prihoda za unos u SAP'!$K$3:$K$501,"=721")</f>
        <v>0</v>
      </c>
      <c r="S30" s="189">
        <f>SUMIFS('Plan prihoda za unos u SAP'!$G$3:$G$501,'Plan prihoda za unos u SAP'!$C$3:$C$501,"=61",'Plan prihoda za unos u SAP'!$K$3:$K$501,"=721")</f>
        <v>0</v>
      </c>
      <c r="T30" s="189">
        <f>SUMIFS('Plan prihoda za unos u SAP'!$G$3:$G$501,'Plan prihoda za unos u SAP'!$C$3:$C$501,"=63",'Plan prihoda za unos u SAP'!$K$3:$K$501,"=721")</f>
        <v>0</v>
      </c>
      <c r="U30" s="189">
        <f>SUMIFS('Plan prihoda za unos u SAP'!$G$3:$G$501,'Plan prihoda za unos u SAP'!$C$3:$C$501,"=71",'Plan prihoda za unos u SAP'!$K$3:$K$501,"=721")</f>
        <v>0</v>
      </c>
      <c r="V30" s="189">
        <f>SUMIFS('Plan prihoda za unos u SAP'!$G$3:$G$501,'Plan prihoda za unos u SAP'!$C$3:$C$501,"=81",'Plan prihoda za unos u SAP'!$K$3:$K$501,"=721")</f>
        <v>0</v>
      </c>
      <c r="W30" s="189">
        <f>SUMIFS('Plan prihoda za unos u SAP'!$G$3:$G$501,'Plan prihoda za unos u SAP'!$C$3:$C$501,"=83",'Plan prihoda za unos u SAP'!$K$3:$K$501,"=721")</f>
        <v>0</v>
      </c>
    </row>
    <row r="31" spans="1:23" s="90" customFormat="1">
      <c r="A31" s="90">
        <v>2021</v>
      </c>
      <c r="B31" s="95" t="s">
        <v>309</v>
      </c>
      <c r="C31" s="100" t="s">
        <v>310</v>
      </c>
      <c r="D31" s="70">
        <f t="shared" si="1"/>
        <v>0</v>
      </c>
      <c r="E31" s="189">
        <f>SUMIFS('Plan prihoda za unos u SAP'!$G$3:$G$501,'Plan prihoda za unos u SAP'!$C$3:$C$501,"=11",'Plan prihoda za unos u SAP'!$K$3:$K$501,"=722")</f>
        <v>0</v>
      </c>
      <c r="F31" s="189">
        <f>SUMIFS('Plan prihoda za unos u SAP'!$G$3:$G$501,'Plan prihoda za unos u SAP'!$C$3:$C$501,"=12",'Plan prihoda za unos u SAP'!$K$3:$K$501,"=722")</f>
        <v>0</v>
      </c>
      <c r="G31" s="189">
        <f>SUMIFS('Plan prihoda za unos u SAP'!$G$3:$G$501,'Plan prihoda za unos u SAP'!$C$3:$C$501,"=31",'Plan prihoda za unos u SAP'!$K$3:$K$501,"=722")</f>
        <v>0</v>
      </c>
      <c r="H31" s="189">
        <f>SUMIFS('Plan prihoda za unos u SAP'!$G$3:$G$501,'Plan prihoda za unos u SAP'!$C$3:$C$501,"=41",'Plan prihoda za unos u SAP'!$K$3:$K$501,"=722")</f>
        <v>0</v>
      </c>
      <c r="I31" s="189">
        <f>SUMIFS('Plan prihoda za unos u SAP'!$G$3:$G$501,'Plan prihoda za unos u SAP'!$C$3:$C$501,"=43",'Plan prihoda za unos u SAP'!$K$3:$K$501,"=722")</f>
        <v>0</v>
      </c>
      <c r="J31" s="189">
        <f>SUMIFS('Plan prihoda za unos u SAP'!$G$3:$G$501,'Plan prihoda za unos u SAP'!$C$3:$C$501,"=51",'Plan prihoda za unos u SAP'!$K$3:$K$501,"=722")</f>
        <v>0</v>
      </c>
      <c r="K31" s="189">
        <f>SUMIFS('Plan prihoda za unos u SAP'!$G$3:$G$501,'Plan prihoda za unos u SAP'!$C$3:$C$501,"=52",'Plan prihoda za unos u SAP'!$K$3:$K$501,"=722")</f>
        <v>0</v>
      </c>
      <c r="L31" s="189">
        <f>SUMIFS('Plan prihoda za unos u SAP'!$G$3:$G$501,'Plan prihoda za unos u SAP'!$C$3:$C$501,"=552",'Plan prihoda za unos u SAP'!$K$3:$K$501,"=722")</f>
        <v>0</v>
      </c>
      <c r="M31" s="189">
        <f>SUMIFS('Plan prihoda za unos u SAP'!$G$3:$G$501,'Plan prihoda za unos u SAP'!$C$3:$C$501,"=559",'Plan prihoda za unos u SAP'!$K$3:$K$501,"=722")</f>
        <v>0</v>
      </c>
      <c r="N31" s="189">
        <f>SUMIFS('Plan prihoda za unos u SAP'!$G$3:$G$501,'Plan prihoda za unos u SAP'!$C$3:$C$501,"=561",'Plan prihoda za unos u SAP'!$K$3:$K$501,"=722")</f>
        <v>0</v>
      </c>
      <c r="O31" s="189">
        <f>SUMIFS('Plan prihoda za unos u SAP'!$G$3:$G$501,'Plan prihoda za unos u SAP'!$C$3:$C$501,"=563",'Plan prihoda za unos u SAP'!$K$3:$K$501,"=722")</f>
        <v>0</v>
      </c>
      <c r="P31" s="189">
        <f>SUMIFS('Plan prihoda za unos u SAP'!$G$3:$G$501,'Plan prihoda za unos u SAP'!$C$3:$C$501,"=573",'Plan prihoda za unos u SAP'!$K$3:$K$501,"=722")</f>
        <v>0</v>
      </c>
      <c r="Q31" s="189">
        <f>SUMIFS('Plan prihoda za unos u SAP'!$G$3:$G$501,'Plan prihoda za unos u SAP'!$C$3:$C$501,"=575",'Plan prihoda za unos u SAP'!$K$3:$K$501,"=722")</f>
        <v>0</v>
      </c>
      <c r="R31" s="189">
        <f>SUMIFS('Plan prihoda za unos u SAP'!$G$3:$G$501,'Plan prihoda za unos u SAP'!$C$3:$C$501,"=576",'Plan prihoda za unos u SAP'!$K$3:$K$501,"=722")</f>
        <v>0</v>
      </c>
      <c r="S31" s="189">
        <f>SUMIFS('Plan prihoda za unos u SAP'!$G$3:$G$501,'Plan prihoda za unos u SAP'!$C$3:$C$501,"=61",'Plan prihoda za unos u SAP'!$K$3:$K$501,"=722")</f>
        <v>0</v>
      </c>
      <c r="T31" s="189">
        <f>SUMIFS('Plan prihoda za unos u SAP'!$G$3:$G$501,'Plan prihoda za unos u SAP'!$C$3:$C$501,"=63",'Plan prihoda za unos u SAP'!$K$3:$K$501,"=722")</f>
        <v>0</v>
      </c>
      <c r="U31" s="189">
        <f>SUMIFS('Plan prihoda za unos u SAP'!$G$3:$G$501,'Plan prihoda za unos u SAP'!$C$3:$C$501,"=71",'Plan prihoda za unos u SAP'!$K$3:$K$501,"=722")</f>
        <v>0</v>
      </c>
      <c r="V31" s="189">
        <f>SUMIFS('Plan prihoda za unos u SAP'!$G$3:$G$501,'Plan prihoda za unos u SAP'!$C$3:$C$501,"=81",'Plan prihoda za unos u SAP'!$K$3:$K$501,"=722")</f>
        <v>0</v>
      </c>
      <c r="W31" s="189">
        <f>SUMIFS('Plan prihoda za unos u SAP'!$G$3:$G$501,'Plan prihoda za unos u SAP'!$C$3:$C$501,"=83",'Plan prihoda za unos u SAP'!$K$3:$K$501,"=722")</f>
        <v>0</v>
      </c>
    </row>
    <row r="32" spans="1:23" s="90" customFormat="1">
      <c r="A32" s="90">
        <v>2021</v>
      </c>
      <c r="B32" s="95" t="s">
        <v>311</v>
      </c>
      <c r="C32" s="100" t="s">
        <v>312</v>
      </c>
      <c r="D32" s="70">
        <f t="shared" si="1"/>
        <v>0</v>
      </c>
      <c r="E32" s="189">
        <f>SUMIFS('Plan prihoda za unos u SAP'!$G$3:$G$501,'Plan prihoda za unos u SAP'!$C$3:$C$501,"=11",'Plan prihoda za unos u SAP'!$K$3:$K$501,"=723")</f>
        <v>0</v>
      </c>
      <c r="F32" s="189">
        <f>SUMIFS('Plan prihoda za unos u SAP'!$G$3:$G$501,'Plan prihoda za unos u SAP'!$C$3:$C$501,"=12",'Plan prihoda za unos u SAP'!$K$3:$K$501,"=723")</f>
        <v>0</v>
      </c>
      <c r="G32" s="189">
        <f>SUMIFS('Plan prihoda za unos u SAP'!$G$3:$G$501,'Plan prihoda za unos u SAP'!$C$3:$C$501,"=31",'Plan prihoda za unos u SAP'!$K$3:$K$501,"=723")</f>
        <v>0</v>
      </c>
      <c r="H32" s="189">
        <f>SUMIFS('Plan prihoda za unos u SAP'!$G$3:$G$501,'Plan prihoda za unos u SAP'!$C$3:$C$501,"=41",'Plan prihoda za unos u SAP'!$K$3:$K$501,"=723")</f>
        <v>0</v>
      </c>
      <c r="I32" s="189">
        <f>SUMIFS('Plan prihoda za unos u SAP'!$G$3:$G$501,'Plan prihoda za unos u SAP'!$C$3:$C$501,"=43",'Plan prihoda za unos u SAP'!$K$3:$K$501,"=723")</f>
        <v>0</v>
      </c>
      <c r="J32" s="189">
        <f>SUMIFS('Plan prihoda za unos u SAP'!$G$3:$G$501,'Plan prihoda za unos u SAP'!$C$3:$C$501,"=51",'Plan prihoda za unos u SAP'!$K$3:$K$501,"=723")</f>
        <v>0</v>
      </c>
      <c r="K32" s="189">
        <f>SUMIFS('Plan prihoda za unos u SAP'!$G$3:$G$501,'Plan prihoda za unos u SAP'!$C$3:$C$501,"=52",'Plan prihoda za unos u SAP'!$K$3:$K$501,"=723")</f>
        <v>0</v>
      </c>
      <c r="L32" s="189">
        <f>SUMIFS('Plan prihoda za unos u SAP'!$G$3:$G$501,'Plan prihoda za unos u SAP'!$C$3:$C$501,"=552",'Plan prihoda za unos u SAP'!$K$3:$K$501,"=723")</f>
        <v>0</v>
      </c>
      <c r="M32" s="189">
        <f>SUMIFS('Plan prihoda za unos u SAP'!$G$3:$G$501,'Plan prihoda za unos u SAP'!$C$3:$C$501,"=559",'Plan prihoda za unos u SAP'!$K$3:$K$501,"=723")</f>
        <v>0</v>
      </c>
      <c r="N32" s="189">
        <f>SUMIFS('Plan prihoda za unos u SAP'!$G$3:$G$501,'Plan prihoda za unos u SAP'!$C$3:$C$501,"=561",'Plan prihoda za unos u SAP'!$K$3:$K$501,"=723")</f>
        <v>0</v>
      </c>
      <c r="O32" s="189">
        <f>SUMIFS('Plan prihoda za unos u SAP'!$G$3:$G$501,'Plan prihoda za unos u SAP'!$C$3:$C$501,"=563",'Plan prihoda za unos u SAP'!$K$3:$K$501,"=723")</f>
        <v>0</v>
      </c>
      <c r="P32" s="189">
        <f>SUMIFS('Plan prihoda za unos u SAP'!$G$3:$G$501,'Plan prihoda za unos u SAP'!$C$3:$C$501,"=573",'Plan prihoda za unos u SAP'!$K$3:$K$501,"=723")</f>
        <v>0</v>
      </c>
      <c r="Q32" s="189">
        <f>SUMIFS('Plan prihoda za unos u SAP'!$G$3:$G$501,'Plan prihoda za unos u SAP'!$C$3:$C$501,"=575",'Plan prihoda za unos u SAP'!$K$3:$K$501,"=723")</f>
        <v>0</v>
      </c>
      <c r="R32" s="189">
        <f>SUMIFS('Plan prihoda za unos u SAP'!$G$3:$G$501,'Plan prihoda za unos u SAP'!$C$3:$C$501,"=576",'Plan prihoda za unos u SAP'!$K$3:$K$501,"=723")</f>
        <v>0</v>
      </c>
      <c r="S32" s="189">
        <f>SUMIFS('Plan prihoda za unos u SAP'!$G$3:$G$501,'Plan prihoda za unos u SAP'!$C$3:$C$501,"=61",'Plan prihoda za unos u SAP'!$K$3:$K$501,"=723")</f>
        <v>0</v>
      </c>
      <c r="T32" s="189">
        <f>SUMIFS('Plan prihoda za unos u SAP'!$G$3:$G$501,'Plan prihoda za unos u SAP'!$C$3:$C$501,"=63",'Plan prihoda za unos u SAP'!$K$3:$K$501,"=723")</f>
        <v>0</v>
      </c>
      <c r="U32" s="189">
        <f>SUMIFS('Plan prihoda za unos u SAP'!$G$3:$G$501,'Plan prihoda za unos u SAP'!$C$3:$C$501,"=71",'Plan prihoda za unos u SAP'!$K$3:$K$501,"=723")</f>
        <v>0</v>
      </c>
      <c r="V32" s="189">
        <f>SUMIFS('Plan prihoda za unos u SAP'!$G$3:$G$501,'Plan prihoda za unos u SAP'!$C$3:$C$501,"=81",'Plan prihoda za unos u SAP'!$K$3:$K$501,"=723")</f>
        <v>0</v>
      </c>
      <c r="W32" s="189">
        <f>SUMIFS('Plan prihoda za unos u SAP'!$G$3:$G$501,'Plan prihoda za unos u SAP'!$C$3:$C$501,"=83",'Plan prihoda za unos u SAP'!$K$3:$K$501,"=723")</f>
        <v>0</v>
      </c>
    </row>
    <row r="33" spans="1:29" s="90" customFormat="1">
      <c r="A33" s="90">
        <v>2021</v>
      </c>
      <c r="B33" s="95" t="s">
        <v>322</v>
      </c>
      <c r="C33" s="100" t="s">
        <v>323</v>
      </c>
      <c r="D33" s="70">
        <f t="shared" si="1"/>
        <v>0</v>
      </c>
      <c r="E33" s="189">
        <f>SUMIFS('Plan prihoda za unos u SAP'!$G$3:$G$501,'Plan prihoda za unos u SAP'!$C$3:$C$501,"=11",'Plan prihoda za unos u SAP'!$K$3:$K$501,"=725")</f>
        <v>0</v>
      </c>
      <c r="F33" s="189">
        <f>SUMIFS('Plan prihoda za unos u SAP'!$G$3:$G$501,'Plan prihoda za unos u SAP'!$C$3:$C$501,"=12",'Plan prihoda za unos u SAP'!$K$3:$K$501,"=725")</f>
        <v>0</v>
      </c>
      <c r="G33" s="189">
        <f>SUMIFS('Plan prihoda za unos u SAP'!$G$3:$G$501,'Plan prihoda za unos u SAP'!$C$3:$C$501,"=31",'Plan prihoda za unos u SAP'!$K$3:$K$501,"=725")</f>
        <v>0</v>
      </c>
      <c r="H33" s="189">
        <f>SUMIFS('Plan prihoda za unos u SAP'!$G$3:$G$501,'Plan prihoda za unos u SAP'!$C$3:$C$501,"=41",'Plan prihoda za unos u SAP'!$K$3:$K$501,"=725")</f>
        <v>0</v>
      </c>
      <c r="I33" s="189">
        <f>SUMIFS('Plan prihoda za unos u SAP'!$G$3:$G$501,'Plan prihoda za unos u SAP'!$C$3:$C$501,"=43",'Plan prihoda za unos u SAP'!$K$3:$K$501,"=725")</f>
        <v>0</v>
      </c>
      <c r="J33" s="189">
        <f>SUMIFS('Plan prihoda za unos u SAP'!$G$3:$G$501,'Plan prihoda za unos u SAP'!$C$3:$C$501,"=51",'Plan prihoda za unos u SAP'!$K$3:$K$501,"=725")</f>
        <v>0</v>
      </c>
      <c r="K33" s="189">
        <f>SUMIFS('Plan prihoda za unos u SAP'!$G$3:$G$501,'Plan prihoda za unos u SAP'!$C$3:$C$501,"=52",'Plan prihoda za unos u SAP'!$K$3:$K$501,"=725")</f>
        <v>0</v>
      </c>
      <c r="L33" s="189">
        <f>SUMIFS('Plan prihoda za unos u SAP'!$G$3:$G$501,'Plan prihoda za unos u SAP'!$C$3:$C$501,"=552",'Plan prihoda za unos u SAP'!$K$3:$K$501,"=725")</f>
        <v>0</v>
      </c>
      <c r="M33" s="189">
        <f>SUMIFS('Plan prihoda za unos u SAP'!$G$3:$G$501,'Plan prihoda za unos u SAP'!$C$3:$C$501,"=559",'Plan prihoda za unos u SAP'!$K$3:$K$501,"=725")</f>
        <v>0</v>
      </c>
      <c r="N33" s="189">
        <f>SUMIFS('Plan prihoda za unos u SAP'!$G$3:$G$501,'Plan prihoda za unos u SAP'!$C$3:$C$501,"=561",'Plan prihoda za unos u SAP'!$K$3:$K$501,"=725")</f>
        <v>0</v>
      </c>
      <c r="O33" s="189">
        <f>SUMIFS('Plan prihoda za unos u SAP'!$G$3:$G$501,'Plan prihoda za unos u SAP'!$C$3:$C$501,"=563",'Plan prihoda za unos u SAP'!$K$3:$K$501,"=725")</f>
        <v>0</v>
      </c>
      <c r="P33" s="189">
        <f>SUMIFS('Plan prihoda za unos u SAP'!$G$3:$G$501,'Plan prihoda za unos u SAP'!$C$3:$C$501,"=573",'Plan prihoda za unos u SAP'!$K$3:$K$501,"=725")</f>
        <v>0</v>
      </c>
      <c r="Q33" s="189">
        <f>SUMIFS('Plan prihoda za unos u SAP'!$G$3:$G$501,'Plan prihoda za unos u SAP'!$C$3:$C$501,"=575",'Plan prihoda za unos u SAP'!$K$3:$K$501,"=725")</f>
        <v>0</v>
      </c>
      <c r="R33" s="189">
        <f>SUMIFS('Plan prihoda za unos u SAP'!$G$3:$G$501,'Plan prihoda za unos u SAP'!$C$3:$C$501,"=576",'Plan prihoda za unos u SAP'!$K$3:$K$501,"=725")</f>
        <v>0</v>
      </c>
      <c r="S33" s="189">
        <f>SUMIFS('Plan prihoda za unos u SAP'!$G$3:$G$501,'Plan prihoda za unos u SAP'!$C$3:$C$501,"=61",'Plan prihoda za unos u SAP'!$K$3:$K$501,"=725")</f>
        <v>0</v>
      </c>
      <c r="T33" s="189">
        <f>SUMIFS('Plan prihoda za unos u SAP'!$G$3:$G$501,'Plan prihoda za unos u SAP'!$C$3:$C$501,"=63",'Plan prihoda za unos u SAP'!$K$3:$K$501,"=725")</f>
        <v>0</v>
      </c>
      <c r="U33" s="189">
        <f>SUMIFS('Plan prihoda za unos u SAP'!$G$3:$G$501,'Plan prihoda za unos u SAP'!$C$3:$C$501,"=71",'Plan prihoda za unos u SAP'!$K$3:$K$501,"=725")</f>
        <v>0</v>
      </c>
      <c r="V33" s="189">
        <f>SUMIFS('Plan prihoda za unos u SAP'!$G$3:$G$501,'Plan prihoda za unos u SAP'!$C$3:$C$501,"=81",'Plan prihoda za unos u SAP'!$K$3:$K$501,"=725")</f>
        <v>0</v>
      </c>
      <c r="W33" s="189">
        <f>SUMIFS('Plan prihoda za unos u SAP'!$G$3:$G$501,'Plan prihoda za unos u SAP'!$C$3:$C$501,"=83",'Plan prihoda za unos u SAP'!$K$3:$K$501,"=725")</f>
        <v>0</v>
      </c>
    </row>
    <row r="34" spans="1:29" s="90" customFormat="1">
      <c r="A34" s="90">
        <v>2021</v>
      </c>
      <c r="B34" s="98" t="s">
        <v>313</v>
      </c>
      <c r="C34" s="99" t="s">
        <v>306</v>
      </c>
      <c r="D34" s="70">
        <f t="shared" si="1"/>
        <v>0</v>
      </c>
      <c r="E34" s="4">
        <f t="shared" ref="E34:V34" si="6">SUM(E28:E33)</f>
        <v>0</v>
      </c>
      <c r="F34" s="4">
        <f t="shared" si="6"/>
        <v>0</v>
      </c>
      <c r="G34" s="4">
        <f t="shared" si="6"/>
        <v>0</v>
      </c>
      <c r="H34" s="4">
        <f>SUM(H28:H33)</f>
        <v>0</v>
      </c>
      <c r="I34" s="4">
        <f t="shared" si="6"/>
        <v>0</v>
      </c>
      <c r="J34" s="4">
        <f t="shared" si="6"/>
        <v>0</v>
      </c>
      <c r="K34" s="4">
        <f t="shared" si="6"/>
        <v>0</v>
      </c>
      <c r="L34" s="4">
        <f>SUM(L28:L33)</f>
        <v>0</v>
      </c>
      <c r="M34" s="4">
        <f t="shared" si="6"/>
        <v>0</v>
      </c>
      <c r="N34" s="4">
        <f t="shared" si="6"/>
        <v>0</v>
      </c>
      <c r="O34" s="4">
        <f t="shared" si="6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 t="shared" si="6"/>
        <v>0</v>
      </c>
      <c r="T34" s="4">
        <f t="shared" si="6"/>
        <v>0</v>
      </c>
      <c r="U34" s="4">
        <f t="shared" si="6"/>
        <v>0</v>
      </c>
      <c r="V34" s="4">
        <f t="shared" si="6"/>
        <v>0</v>
      </c>
      <c r="W34" s="4">
        <f>SUM(W28:W33)</f>
        <v>0</v>
      </c>
    </row>
    <row r="35" spans="1:29" s="90" customFormat="1" ht="25.5">
      <c r="A35" s="90">
        <v>2021</v>
      </c>
      <c r="B35" s="101">
        <v>812</v>
      </c>
      <c r="C35" s="102" t="s">
        <v>314</v>
      </c>
      <c r="D35" s="70">
        <f t="shared" si="1"/>
        <v>0</v>
      </c>
      <c r="E35" s="189">
        <f>SUMIFS('Plan prihoda za unos u SAP'!$G$3:$G$501,'Plan prihoda za unos u SAP'!$C$3:$C$501,"=11",'Plan prihoda za unos u SAP'!$K$3:$K$501,"=812")</f>
        <v>0</v>
      </c>
      <c r="F35" s="189">
        <f>SUMIFS('Plan prihoda za unos u SAP'!$G$3:$G$501,'Plan prihoda za unos u SAP'!$C$3:$C$501,"=12",'Plan prihoda za unos u SAP'!$K$3:$K$501,"=812")</f>
        <v>0</v>
      </c>
      <c r="G35" s="189">
        <f>SUMIFS('Plan prihoda za unos u SAP'!$G$3:$G$501,'Plan prihoda za unos u SAP'!$C$3:$C$501,"=31",'Plan prihoda za unos u SAP'!$K$3:$K$501,"=812")</f>
        <v>0</v>
      </c>
      <c r="H35" s="189">
        <f>SUMIFS('Plan prihoda za unos u SAP'!$G$3:$G$501,'Plan prihoda za unos u SAP'!$C$3:$C$501,"=41",'Plan prihoda za unos u SAP'!$K$3:$K$501,"=812")</f>
        <v>0</v>
      </c>
      <c r="I35" s="189">
        <f>SUMIFS('Plan prihoda za unos u SAP'!$G$3:$G$501,'Plan prihoda za unos u SAP'!$C$3:$C$501,"=43",'Plan prihoda za unos u SAP'!$K$3:$K$501,"=812")</f>
        <v>0</v>
      </c>
      <c r="J35" s="189">
        <f>SUMIFS('Plan prihoda za unos u SAP'!$G$3:$G$501,'Plan prihoda za unos u SAP'!$C$3:$C$501,"=51",'Plan prihoda za unos u SAP'!$K$3:$K$501,"=812")</f>
        <v>0</v>
      </c>
      <c r="K35" s="189">
        <f>SUMIFS('Plan prihoda za unos u SAP'!$G$3:$G$501,'Plan prihoda za unos u SAP'!$C$3:$C$501,"=52",'Plan prihoda za unos u SAP'!$K$3:$K$501,"=812")</f>
        <v>0</v>
      </c>
      <c r="L35" s="189">
        <f>SUMIFS('Plan prihoda za unos u SAP'!$G$3:$G$501,'Plan prihoda za unos u SAP'!$C$3:$C$501,"=552",'Plan prihoda za unos u SAP'!$K$3:$K$501,"=812")</f>
        <v>0</v>
      </c>
      <c r="M35" s="189">
        <f>SUMIFS('Plan prihoda za unos u SAP'!$G$3:$G$501,'Plan prihoda za unos u SAP'!$C$3:$C$501,"=559",'Plan prihoda za unos u SAP'!$K$3:$K$501,"=812")</f>
        <v>0</v>
      </c>
      <c r="N35" s="189">
        <f>SUMIFS('Plan prihoda za unos u SAP'!$G$3:$G$501,'Plan prihoda za unos u SAP'!$C$3:$C$501,"=561",'Plan prihoda za unos u SAP'!$K$3:$K$501,"=812")</f>
        <v>0</v>
      </c>
      <c r="O35" s="189">
        <f>SUMIFS('Plan prihoda za unos u SAP'!$G$3:$G$501,'Plan prihoda za unos u SAP'!$C$3:$C$501,"=563",'Plan prihoda za unos u SAP'!$K$3:$K$501,"=812")</f>
        <v>0</v>
      </c>
      <c r="P35" s="189">
        <f>SUMIFS('Plan prihoda za unos u SAP'!$G$3:$G$501,'Plan prihoda za unos u SAP'!$C$3:$C$501,"=573",'Plan prihoda za unos u SAP'!$K$3:$K$501,"=812")</f>
        <v>0</v>
      </c>
      <c r="Q35" s="189">
        <f>SUMIFS('Plan prihoda za unos u SAP'!$G$3:$G$501,'Plan prihoda za unos u SAP'!$C$3:$C$501,"=575",'Plan prihoda za unos u SAP'!$K$3:$K$501,"=812")</f>
        <v>0</v>
      </c>
      <c r="R35" s="189">
        <f>SUMIFS('Plan prihoda za unos u SAP'!$G$3:$G$501,'Plan prihoda za unos u SAP'!$C$3:$C$501,"=576",'Plan prihoda za unos u SAP'!$K$3:$K$501,"=812")</f>
        <v>0</v>
      </c>
      <c r="S35" s="189">
        <f>SUMIFS('Plan prihoda za unos u SAP'!$G$3:$G$501,'Plan prihoda za unos u SAP'!$C$3:$C$501,"=61",'Plan prihoda za unos u SAP'!$K$3:$K$501,"=812")</f>
        <v>0</v>
      </c>
      <c r="T35" s="189">
        <f>SUMIFS('Plan prihoda za unos u SAP'!$G$3:$G$501,'Plan prihoda za unos u SAP'!$C$3:$C$501,"=63",'Plan prihoda za unos u SAP'!$K$3:$K$501,"=812")</f>
        <v>0</v>
      </c>
      <c r="U35" s="189">
        <f>SUMIFS('Plan prihoda za unos u SAP'!$G$3:$G$501,'Plan prihoda za unos u SAP'!$C$3:$C$501,"=71",'Plan prihoda za unos u SAP'!$K$3:$K$501,"=812")</f>
        <v>0</v>
      </c>
      <c r="V35" s="189">
        <f>SUMIFS('Plan prihoda za unos u SAP'!$G$3:$G$501,'Plan prihoda za unos u SAP'!$C$3:$C$501,"=81",'Plan prihoda za unos u SAP'!$K$3:$K$501,"=812")</f>
        <v>0</v>
      </c>
      <c r="W35" s="189">
        <f>SUMIFS('Plan prihoda za unos u SAP'!$G$3:$G$501,'Plan prihoda za unos u SAP'!$C$3:$C$501,"=83",'Plan prihoda za unos u SAP'!$K$3:$K$501,"=812")</f>
        <v>0</v>
      </c>
    </row>
    <row r="36" spans="1:29" s="90" customFormat="1">
      <c r="A36" s="90">
        <v>2021</v>
      </c>
      <c r="B36" s="101">
        <v>818</v>
      </c>
      <c r="C36" s="102" t="s">
        <v>1567</v>
      </c>
      <c r="D36" s="70">
        <f t="shared" si="1"/>
        <v>0</v>
      </c>
      <c r="E36" s="189">
        <f>SUMIFS('Plan prihoda za unos u SAP'!$G$3:$G$501,'Plan prihoda za unos u SAP'!$C$3:$C$501,"=11",'Plan prihoda za unos u SAP'!$K$3:$K$501,"=818")</f>
        <v>0</v>
      </c>
      <c r="F36" s="189">
        <f>SUMIFS('Plan prihoda za unos u SAP'!$G$3:$G$501,'Plan prihoda za unos u SAP'!$C$3:$C$501,"=12",'Plan prihoda za unos u SAP'!$K$3:$K$501,"=818")</f>
        <v>0</v>
      </c>
      <c r="G36" s="189">
        <f>SUMIFS('Plan prihoda za unos u SAP'!$G$3:$G$501,'Plan prihoda za unos u SAP'!$C$3:$C$501,"=31",'Plan prihoda za unos u SAP'!$K$3:$K$501,"=818")</f>
        <v>0</v>
      </c>
      <c r="H36" s="189">
        <f>SUMIFS('Plan prihoda za unos u SAP'!$G$3:$G$501,'Plan prihoda za unos u SAP'!$C$3:$C$501,"=41",'Plan prihoda za unos u SAP'!$K$3:$K$501,"=818")</f>
        <v>0</v>
      </c>
      <c r="I36" s="189">
        <f>SUMIFS('Plan prihoda za unos u SAP'!$G$3:$G$501,'Plan prihoda za unos u SAP'!$C$3:$C$501,"=43",'Plan prihoda za unos u SAP'!$K$3:$K$501,"=818")</f>
        <v>0</v>
      </c>
      <c r="J36" s="189">
        <f>SUMIFS('Plan prihoda za unos u SAP'!$G$3:$G$501,'Plan prihoda za unos u SAP'!$C$3:$C$501,"=51",'Plan prihoda za unos u SAP'!$K$3:$K$501,"=818")</f>
        <v>0</v>
      </c>
      <c r="K36" s="189">
        <f>SUMIFS('Plan prihoda za unos u SAP'!$G$3:$G$501,'Plan prihoda za unos u SAP'!$C$3:$C$501,"=52",'Plan prihoda za unos u SAP'!$K$3:$K$501,"=818")</f>
        <v>0</v>
      </c>
      <c r="L36" s="189">
        <f>SUMIFS('Plan prihoda za unos u SAP'!$G$3:$G$501,'Plan prihoda za unos u SAP'!$C$3:$C$501,"=552",'Plan prihoda za unos u SAP'!$K$3:$K$501,"=818")</f>
        <v>0</v>
      </c>
      <c r="M36" s="189">
        <f>SUMIFS('Plan prihoda za unos u SAP'!$G$3:$G$501,'Plan prihoda za unos u SAP'!$C$3:$C$501,"=559",'Plan prihoda za unos u SAP'!$K$3:$K$501,"=818")</f>
        <v>0</v>
      </c>
      <c r="N36" s="189">
        <f>SUMIFS('Plan prihoda za unos u SAP'!$G$3:$G$501,'Plan prihoda za unos u SAP'!$C$3:$C$501,"=561",'Plan prihoda za unos u SAP'!$K$3:$K$501,"=818")</f>
        <v>0</v>
      </c>
      <c r="O36" s="189">
        <f>SUMIFS('Plan prihoda za unos u SAP'!$G$3:$G$501,'Plan prihoda za unos u SAP'!$C$3:$C$501,"=563",'Plan prihoda za unos u SAP'!$K$3:$K$501,"=818")</f>
        <v>0</v>
      </c>
      <c r="P36" s="189">
        <f>SUMIFS('Plan prihoda za unos u SAP'!$G$3:$G$501,'Plan prihoda za unos u SAP'!$C$3:$C$501,"=573",'Plan prihoda za unos u SAP'!$K$3:$K$501,"=818")</f>
        <v>0</v>
      </c>
      <c r="Q36" s="189">
        <f>SUMIFS('Plan prihoda za unos u SAP'!$G$3:$G$501,'Plan prihoda za unos u SAP'!$C$3:$C$501,"=575",'Plan prihoda za unos u SAP'!$K$3:$K$501,"=818")</f>
        <v>0</v>
      </c>
      <c r="R36" s="189">
        <f>SUMIFS('Plan prihoda za unos u SAP'!$G$3:$G$501,'Plan prihoda za unos u SAP'!$C$3:$C$501,"=576",'Plan prihoda za unos u SAP'!$K$3:$K$501,"=818")</f>
        <v>0</v>
      </c>
      <c r="S36" s="189">
        <f>SUMIFS('Plan prihoda za unos u SAP'!$G$3:$G$501,'Plan prihoda za unos u SAP'!$C$3:$C$501,"=61",'Plan prihoda za unos u SAP'!$K$3:$K$501,"=818")</f>
        <v>0</v>
      </c>
      <c r="T36" s="189">
        <f>SUMIFS('Plan prihoda za unos u SAP'!$G$3:$G$501,'Plan prihoda za unos u SAP'!$C$3:$C$501,"=63",'Plan prihoda za unos u SAP'!$K$3:$K$501,"=818")</f>
        <v>0</v>
      </c>
      <c r="U36" s="189">
        <f>SUMIFS('Plan prihoda za unos u SAP'!$G$3:$G$501,'Plan prihoda za unos u SAP'!$C$3:$C$501,"=71",'Plan prihoda za unos u SAP'!$K$3:$K$501,"=818")</f>
        <v>0</v>
      </c>
      <c r="V36" s="189">
        <f>SUMIFS('Plan prihoda za unos u SAP'!$G$3:$G$501,'Plan prihoda za unos u SAP'!$C$3:$C$501,"=81",'Plan prihoda za unos u SAP'!$K$3:$K$501,"=818")</f>
        <v>0</v>
      </c>
      <c r="W36" s="189">
        <f>SUMIFS('Plan prihoda za unos u SAP'!$G$3:$G$501,'Plan prihoda za unos u SAP'!$C$3:$C$501,"=83",'Plan prihoda za unos u SAP'!$K$3:$K$501,"=818")</f>
        <v>0</v>
      </c>
    </row>
    <row r="37" spans="1:29" s="90" customFormat="1">
      <c r="A37" s="90">
        <v>2021</v>
      </c>
      <c r="B37" s="101">
        <v>832</v>
      </c>
      <c r="C37" s="102" t="s">
        <v>1568</v>
      </c>
      <c r="D37" s="70">
        <f t="shared" si="1"/>
        <v>0</v>
      </c>
      <c r="E37" s="189">
        <f>SUMIFS('Plan prihoda za unos u SAP'!$G$3:$G$501,'Plan prihoda za unos u SAP'!$C$3:$C$501,"=11",'Plan prihoda za unos u SAP'!$K$3:$K$501,"=832")</f>
        <v>0</v>
      </c>
      <c r="F37" s="189">
        <f>SUMIFS('Plan prihoda za unos u SAP'!$G$3:$G$501,'Plan prihoda za unos u SAP'!$C$3:$C$501,"=12",'Plan prihoda za unos u SAP'!$K$3:$K$501,"=832")</f>
        <v>0</v>
      </c>
      <c r="G37" s="189">
        <f>SUMIFS('Plan prihoda za unos u SAP'!$G$3:$G$501,'Plan prihoda za unos u SAP'!$C$3:$C$501,"=31",'Plan prihoda za unos u SAP'!$K$3:$K$501,"=832")</f>
        <v>0</v>
      </c>
      <c r="H37" s="189">
        <f>SUMIFS('Plan prihoda za unos u SAP'!$G$3:$G$501,'Plan prihoda za unos u SAP'!$C$3:$C$501,"=41",'Plan prihoda za unos u SAP'!$K$3:$K$501,"=832")</f>
        <v>0</v>
      </c>
      <c r="I37" s="189">
        <f>SUMIFS('Plan prihoda za unos u SAP'!$G$3:$G$501,'Plan prihoda za unos u SAP'!$C$3:$C$501,"=43",'Plan prihoda za unos u SAP'!$K$3:$K$501,"=832")</f>
        <v>0</v>
      </c>
      <c r="J37" s="189">
        <f>SUMIFS('Plan prihoda za unos u SAP'!$G$3:$G$501,'Plan prihoda za unos u SAP'!$C$3:$C$501,"=51",'Plan prihoda za unos u SAP'!$K$3:$K$501,"=832")</f>
        <v>0</v>
      </c>
      <c r="K37" s="189">
        <f>SUMIFS('Plan prihoda za unos u SAP'!$G$3:$G$501,'Plan prihoda za unos u SAP'!$C$3:$C$501,"=52",'Plan prihoda za unos u SAP'!$K$3:$K$501,"=832")</f>
        <v>0</v>
      </c>
      <c r="L37" s="189">
        <f>SUMIFS('Plan prihoda za unos u SAP'!$G$3:$G$501,'Plan prihoda za unos u SAP'!$C$3:$C$501,"=552",'Plan prihoda za unos u SAP'!$K$3:$K$501,"=832")</f>
        <v>0</v>
      </c>
      <c r="M37" s="189">
        <f>SUMIFS('Plan prihoda za unos u SAP'!$G$3:$G$501,'Plan prihoda za unos u SAP'!$C$3:$C$501,"=559",'Plan prihoda za unos u SAP'!$K$3:$K$501,"=832")</f>
        <v>0</v>
      </c>
      <c r="N37" s="189">
        <f>SUMIFS('Plan prihoda za unos u SAP'!$G$3:$G$501,'Plan prihoda za unos u SAP'!$C$3:$C$501,"=561",'Plan prihoda za unos u SAP'!$K$3:$K$501,"=832")</f>
        <v>0</v>
      </c>
      <c r="O37" s="189">
        <f>SUMIFS('Plan prihoda za unos u SAP'!$G$3:$G$501,'Plan prihoda za unos u SAP'!$C$3:$C$501,"=563",'Plan prihoda za unos u SAP'!$K$3:$K$501,"=832")</f>
        <v>0</v>
      </c>
      <c r="P37" s="189">
        <f>SUMIFS('Plan prihoda za unos u SAP'!$G$3:$G$501,'Plan prihoda za unos u SAP'!$C$3:$C$501,"=573",'Plan prihoda za unos u SAP'!$K$3:$K$501,"=832")</f>
        <v>0</v>
      </c>
      <c r="Q37" s="189">
        <f>SUMIFS('Plan prihoda za unos u SAP'!$G$3:$G$501,'Plan prihoda za unos u SAP'!$C$3:$C$501,"=575",'Plan prihoda za unos u SAP'!$K$3:$K$501,"=832")</f>
        <v>0</v>
      </c>
      <c r="R37" s="189">
        <f>SUMIFS('Plan prihoda za unos u SAP'!$G$3:$G$501,'Plan prihoda za unos u SAP'!$C$3:$C$501,"=576",'Plan prihoda za unos u SAP'!$K$3:$K$501,"=832")</f>
        <v>0</v>
      </c>
      <c r="S37" s="189">
        <f>SUMIFS('Plan prihoda za unos u SAP'!$G$3:$G$501,'Plan prihoda za unos u SAP'!$C$3:$C$501,"=61",'Plan prihoda za unos u SAP'!$K$3:$K$501,"=832")</f>
        <v>0</v>
      </c>
      <c r="T37" s="189">
        <f>SUMIFS('Plan prihoda za unos u SAP'!$G$3:$G$501,'Plan prihoda za unos u SAP'!$C$3:$C$501,"=63",'Plan prihoda za unos u SAP'!$K$3:$K$501,"=832")</f>
        <v>0</v>
      </c>
      <c r="U37" s="189">
        <f>SUMIFS('Plan prihoda za unos u SAP'!$G$3:$G$501,'Plan prihoda za unos u SAP'!$C$3:$C$501,"=71",'Plan prihoda za unos u SAP'!$K$3:$K$501,"=832")</f>
        <v>0</v>
      </c>
      <c r="V37" s="189">
        <f>SUMIFS('Plan prihoda za unos u SAP'!$G$3:$G$501,'Plan prihoda za unos u SAP'!$C$3:$C$501,"=81",'Plan prihoda za unos u SAP'!$K$3:$K$501,"=832")</f>
        <v>0</v>
      </c>
      <c r="W37" s="189">
        <f>SUMIFS('Plan prihoda za unos u SAP'!$G$3:$G$501,'Plan prihoda za unos u SAP'!$C$3:$C$501,"=83",'Plan prihoda za unos u SAP'!$K$3:$K$501,"=832")</f>
        <v>0</v>
      </c>
    </row>
    <row r="38" spans="1:29" s="90" customFormat="1" ht="25.5">
      <c r="A38" s="90">
        <v>2021</v>
      </c>
      <c r="B38" s="277">
        <v>833</v>
      </c>
      <c r="C38" s="102" t="s">
        <v>2136</v>
      </c>
      <c r="D38" s="70">
        <f t="shared" ref="D38" si="7">SUM(E38:W38)</f>
        <v>0</v>
      </c>
      <c r="E38" s="189">
        <f>SUMIFS('Plan prihoda za unos u SAP'!$G$3:$G$501,'Plan prihoda za unos u SAP'!$C$3:$C$501,"=11",'Plan prihoda za unos u SAP'!$K$3:$K$501,"=833")</f>
        <v>0</v>
      </c>
      <c r="F38" s="189">
        <f>SUMIFS('Plan prihoda za unos u SAP'!$G$3:$G$501,'Plan prihoda za unos u SAP'!$C$3:$C$501,"=12",'Plan prihoda za unos u SAP'!$K$3:$K$501,"=833")</f>
        <v>0</v>
      </c>
      <c r="G38" s="189">
        <f>SUMIFS('Plan prihoda za unos u SAP'!$G$3:$G$501,'Plan prihoda za unos u SAP'!$C$3:$C$501,"=31",'Plan prihoda za unos u SAP'!$K$3:$K$501,"=833")</f>
        <v>0</v>
      </c>
      <c r="H38" s="189">
        <f>SUMIFS('Plan prihoda za unos u SAP'!$G$3:$G$501,'Plan prihoda za unos u SAP'!$C$3:$C$501,"=41",'Plan prihoda za unos u SAP'!$K$3:$K$501,"=833")</f>
        <v>0</v>
      </c>
      <c r="I38" s="189">
        <f>SUMIFS('Plan prihoda za unos u SAP'!$G$3:$G$501,'Plan prihoda za unos u SAP'!$C$3:$C$501,"=43",'Plan prihoda za unos u SAP'!$K$3:$K$501,"=833")</f>
        <v>0</v>
      </c>
      <c r="J38" s="189">
        <f>SUMIFS('Plan prihoda za unos u SAP'!$G$3:$G$501,'Plan prihoda za unos u SAP'!$C$3:$C$501,"=51",'Plan prihoda za unos u SAP'!$K$3:$K$501,"=833")</f>
        <v>0</v>
      </c>
      <c r="K38" s="189">
        <f>SUMIFS('Plan prihoda za unos u SAP'!$G$3:$G$501,'Plan prihoda za unos u SAP'!$C$3:$C$501,"=52",'Plan prihoda za unos u SAP'!$K$3:$K$501,"=833")</f>
        <v>0</v>
      </c>
      <c r="L38" s="189">
        <f>SUMIFS('Plan prihoda za unos u SAP'!$G$3:$G$501,'Plan prihoda za unos u SAP'!$C$3:$C$501,"=552",'Plan prihoda za unos u SAP'!$K$3:$K$501,"=833")</f>
        <v>0</v>
      </c>
      <c r="M38" s="189">
        <f>SUMIFS('Plan prihoda za unos u SAP'!$G$3:$G$501,'Plan prihoda za unos u SAP'!$C$3:$C$501,"=559",'Plan prihoda za unos u SAP'!$K$3:$K$501,"=833")</f>
        <v>0</v>
      </c>
      <c r="N38" s="189">
        <f>SUMIFS('Plan prihoda za unos u SAP'!$G$3:$G$501,'Plan prihoda za unos u SAP'!$C$3:$C$501,"=561",'Plan prihoda za unos u SAP'!$K$3:$K$501,"=833")</f>
        <v>0</v>
      </c>
      <c r="O38" s="189">
        <f>SUMIFS('Plan prihoda za unos u SAP'!$G$3:$G$501,'Plan prihoda za unos u SAP'!$C$3:$C$501,"=563",'Plan prihoda za unos u SAP'!$K$3:$K$501,"=833")</f>
        <v>0</v>
      </c>
      <c r="P38" s="189">
        <f>SUMIFS('Plan prihoda za unos u SAP'!$G$3:$G$501,'Plan prihoda za unos u SAP'!$C$3:$C$501,"=573",'Plan prihoda za unos u SAP'!$K$3:$K$501,"=833")</f>
        <v>0</v>
      </c>
      <c r="Q38" s="189">
        <f>SUMIFS('Plan prihoda za unos u SAP'!$G$3:$G$501,'Plan prihoda za unos u SAP'!$C$3:$C$501,"=575",'Plan prihoda za unos u SAP'!$K$3:$K$501,"=833")</f>
        <v>0</v>
      </c>
      <c r="R38" s="189">
        <f>SUMIFS('Plan prihoda za unos u SAP'!$G$3:$G$501,'Plan prihoda za unos u SAP'!$C$3:$C$501,"=576",'Plan prihoda za unos u SAP'!$K$3:$K$501,"=833")</f>
        <v>0</v>
      </c>
      <c r="S38" s="189">
        <f>SUMIFS('Plan prihoda za unos u SAP'!$G$3:$G$501,'Plan prihoda za unos u SAP'!$C$3:$C$501,"=61",'Plan prihoda za unos u SAP'!$K$3:$K$501,"=833")</f>
        <v>0</v>
      </c>
      <c r="T38" s="189">
        <f>SUMIFS('Plan prihoda za unos u SAP'!$G$3:$G$501,'Plan prihoda za unos u SAP'!$C$3:$C$501,"=63",'Plan prihoda za unos u SAP'!$K$3:$K$501,"=833")</f>
        <v>0</v>
      </c>
      <c r="U38" s="189">
        <f>SUMIFS('Plan prihoda za unos u SAP'!$G$3:$G$501,'Plan prihoda za unos u SAP'!$C$3:$C$501,"=71",'Plan prihoda za unos u SAP'!$K$3:$K$501,"=833")</f>
        <v>0</v>
      </c>
      <c r="V38" s="189">
        <f>SUMIFS('Plan prihoda za unos u SAP'!$G$3:$G$501,'Plan prihoda za unos u SAP'!$C$3:$C$501,"=81",'Plan prihoda za unos u SAP'!$K$3:$K$501,"=833")</f>
        <v>0</v>
      </c>
      <c r="W38" s="189">
        <f>SUMIFS('Plan prihoda za unos u SAP'!$G$3:$G$501,'Plan prihoda za unos u SAP'!$C$3:$C$501,"=83",'Plan prihoda za unos u SAP'!$K$3:$K$501,"=833")</f>
        <v>0</v>
      </c>
    </row>
    <row r="39" spans="1:29" s="90" customFormat="1" ht="25.5">
      <c r="A39" s="90">
        <v>2021</v>
      </c>
      <c r="B39" s="101">
        <v>841</v>
      </c>
      <c r="C39" s="102" t="s">
        <v>1569</v>
      </c>
      <c r="D39" s="70">
        <f t="shared" si="1"/>
        <v>0</v>
      </c>
      <c r="E39" s="189">
        <f>SUMIFS('Plan prihoda za unos u SAP'!$G$3:$G$501,'Plan prihoda za unos u SAP'!$C$3:$C$501,"=11",'Plan prihoda za unos u SAP'!$K$3:$K$501,"=841")</f>
        <v>0</v>
      </c>
      <c r="F39" s="189">
        <f>SUMIFS('Plan prihoda za unos u SAP'!$G$3:$G$501,'Plan prihoda za unos u SAP'!$C$3:$C$501,"=12",'Plan prihoda za unos u SAP'!$K$3:$K$501,"=841")</f>
        <v>0</v>
      </c>
      <c r="G39" s="189">
        <f>SUMIFS('Plan prihoda za unos u SAP'!$G$3:$G$501,'Plan prihoda za unos u SAP'!$C$3:$C$501,"=31",'Plan prihoda za unos u SAP'!$K$3:$K$501,"=841")</f>
        <v>0</v>
      </c>
      <c r="H39" s="189">
        <f>SUMIFS('Plan prihoda za unos u SAP'!$G$3:$G$501,'Plan prihoda za unos u SAP'!$C$3:$C$501,"=41",'Plan prihoda za unos u SAP'!$K$3:$K$501,"=841")</f>
        <v>0</v>
      </c>
      <c r="I39" s="189">
        <f>SUMIFS('Plan prihoda za unos u SAP'!$G$3:$G$501,'Plan prihoda za unos u SAP'!$C$3:$C$501,"=43",'Plan prihoda za unos u SAP'!$K$3:$K$501,"=841")</f>
        <v>0</v>
      </c>
      <c r="J39" s="189">
        <f>SUMIFS('Plan prihoda za unos u SAP'!$G$3:$G$501,'Plan prihoda za unos u SAP'!$C$3:$C$501,"=51",'Plan prihoda za unos u SAP'!$K$3:$K$501,"=841")</f>
        <v>0</v>
      </c>
      <c r="K39" s="189">
        <f>SUMIFS('Plan prihoda za unos u SAP'!$G$3:$G$501,'Plan prihoda za unos u SAP'!$C$3:$C$501,"=52",'Plan prihoda za unos u SAP'!$K$3:$K$501,"=841")</f>
        <v>0</v>
      </c>
      <c r="L39" s="189">
        <f>SUMIFS('Plan prihoda za unos u SAP'!$G$3:$G$501,'Plan prihoda za unos u SAP'!$C$3:$C$501,"=552",'Plan prihoda za unos u SAP'!$K$3:$K$501,"=841")</f>
        <v>0</v>
      </c>
      <c r="M39" s="189">
        <f>SUMIFS('Plan prihoda za unos u SAP'!$G$3:$G$501,'Plan prihoda za unos u SAP'!$C$3:$C$501,"=559",'Plan prihoda za unos u SAP'!$K$3:$K$501,"=841")</f>
        <v>0</v>
      </c>
      <c r="N39" s="189">
        <f>SUMIFS('Plan prihoda za unos u SAP'!$G$3:$G$501,'Plan prihoda za unos u SAP'!$C$3:$C$501,"=561",'Plan prihoda za unos u SAP'!$K$3:$K$501,"=841")</f>
        <v>0</v>
      </c>
      <c r="O39" s="189">
        <f>SUMIFS('Plan prihoda za unos u SAP'!$G$3:$G$501,'Plan prihoda za unos u SAP'!$C$3:$C$501,"=563",'Plan prihoda za unos u SAP'!$K$3:$K$501,"=841")</f>
        <v>0</v>
      </c>
      <c r="P39" s="189">
        <f>SUMIFS('Plan prihoda za unos u SAP'!$G$3:$G$501,'Plan prihoda za unos u SAP'!$C$3:$C$501,"=573",'Plan prihoda za unos u SAP'!$K$3:$K$501,"=841")</f>
        <v>0</v>
      </c>
      <c r="Q39" s="189">
        <f>SUMIFS('Plan prihoda za unos u SAP'!$G$3:$G$501,'Plan prihoda za unos u SAP'!$C$3:$C$501,"=575",'Plan prihoda za unos u SAP'!$K$3:$K$501,"=841")</f>
        <v>0</v>
      </c>
      <c r="R39" s="189">
        <f>SUMIFS('Plan prihoda za unos u SAP'!$G$3:$G$501,'Plan prihoda za unos u SAP'!$C$3:$C$501,"=576",'Plan prihoda za unos u SAP'!$K$3:$K$501,"=841")</f>
        <v>0</v>
      </c>
      <c r="S39" s="189">
        <f>SUMIFS('Plan prihoda za unos u SAP'!$G$3:$G$501,'Plan prihoda za unos u SAP'!$C$3:$C$501,"=61",'Plan prihoda za unos u SAP'!$K$3:$K$501,"=841")</f>
        <v>0</v>
      </c>
      <c r="T39" s="189">
        <f>SUMIFS('Plan prihoda za unos u SAP'!$G$3:$G$501,'Plan prihoda za unos u SAP'!$C$3:$C$501,"=63",'Plan prihoda za unos u SAP'!$K$3:$K$501,"=841")</f>
        <v>0</v>
      </c>
      <c r="U39" s="189">
        <f>SUMIFS('Plan prihoda za unos u SAP'!$G$3:$G$501,'Plan prihoda za unos u SAP'!$C$3:$C$501,"=71",'Plan prihoda za unos u SAP'!$K$3:$K$501,"=841")</f>
        <v>0</v>
      </c>
      <c r="V39" s="189">
        <f>SUMIFS('Plan prihoda za unos u SAP'!$G$3:$G$501,'Plan prihoda za unos u SAP'!$C$3:$C$501,"=81",'Plan prihoda za unos u SAP'!$K$3:$K$501,"=841")</f>
        <v>0</v>
      </c>
      <c r="W39" s="189">
        <f>SUMIFS('Plan prihoda za unos u SAP'!$G$3:$G$501,'Plan prihoda za unos u SAP'!$C$3:$C$501,"=83",'Plan prihoda za unos u SAP'!$K$3:$K$501,"=841")</f>
        <v>0</v>
      </c>
    </row>
    <row r="40" spans="1:29" s="90" customFormat="1" ht="25.5">
      <c r="A40" s="90">
        <v>2021</v>
      </c>
      <c r="B40" s="101">
        <v>842</v>
      </c>
      <c r="C40" s="102" t="s">
        <v>324</v>
      </c>
      <c r="D40" s="70">
        <f>SUM(E40:W40)</f>
        <v>0</v>
      </c>
      <c r="E40" s="189">
        <f>SUMIFS('Plan prihoda za unos u SAP'!$G$3:$G$501,'Plan prihoda za unos u SAP'!$C$3:$C$501,"=11",'Plan prihoda za unos u SAP'!$K$3:$K$501,"=842")</f>
        <v>0</v>
      </c>
      <c r="F40" s="189">
        <f>SUMIFS('Plan prihoda za unos u SAP'!$G$3:$G$501,'Plan prihoda za unos u SAP'!$C$3:$C$501,"=12",'Plan prihoda za unos u SAP'!$K$3:$K$501,"=842")</f>
        <v>0</v>
      </c>
      <c r="G40" s="189">
        <f>SUMIFS('Plan prihoda za unos u SAP'!$G$3:$G$501,'Plan prihoda za unos u SAP'!$C$3:$C$501,"=31",'Plan prihoda za unos u SAP'!$K$3:$K$501,"=842")</f>
        <v>0</v>
      </c>
      <c r="H40" s="189">
        <f>SUMIFS('Plan prihoda za unos u SAP'!$G$3:$G$501,'Plan prihoda za unos u SAP'!$C$3:$C$501,"=41",'Plan prihoda za unos u SAP'!$K$3:$K$501,"=842")</f>
        <v>0</v>
      </c>
      <c r="I40" s="189">
        <f>SUMIFS('Plan prihoda za unos u SAP'!$G$3:$G$501,'Plan prihoda za unos u SAP'!$C$3:$C$501,"=43",'Plan prihoda za unos u SAP'!$K$3:$K$501,"=842")</f>
        <v>0</v>
      </c>
      <c r="J40" s="189">
        <f>SUMIFS('Plan prihoda za unos u SAP'!$G$3:$G$501,'Plan prihoda za unos u SAP'!$C$3:$C$501,"=51",'Plan prihoda za unos u SAP'!$K$3:$K$501,"=842")</f>
        <v>0</v>
      </c>
      <c r="K40" s="189">
        <f>SUMIFS('Plan prihoda za unos u SAP'!$G$3:$G$501,'Plan prihoda za unos u SAP'!$C$3:$C$501,"=52",'Plan prihoda za unos u SAP'!$K$3:$K$501,"=842")</f>
        <v>0</v>
      </c>
      <c r="L40" s="189">
        <f>SUMIFS('Plan prihoda za unos u SAP'!$G$3:$G$501,'Plan prihoda za unos u SAP'!$C$3:$C$501,"=552",'Plan prihoda za unos u SAP'!$K$3:$K$501,"=842")</f>
        <v>0</v>
      </c>
      <c r="M40" s="189">
        <f>SUMIFS('Plan prihoda za unos u SAP'!$G$3:$G$501,'Plan prihoda za unos u SAP'!$C$3:$C$501,"=559",'Plan prihoda za unos u SAP'!$K$3:$K$501,"=842")</f>
        <v>0</v>
      </c>
      <c r="N40" s="189">
        <f>SUMIFS('Plan prihoda za unos u SAP'!$G$3:$G$501,'Plan prihoda za unos u SAP'!$C$3:$C$501,"=561",'Plan prihoda za unos u SAP'!$K$3:$K$501,"=842")</f>
        <v>0</v>
      </c>
      <c r="O40" s="189">
        <f>SUMIFS('Plan prihoda za unos u SAP'!$G$3:$G$501,'Plan prihoda za unos u SAP'!$C$3:$C$501,"=563",'Plan prihoda za unos u SAP'!$K$3:$K$501,"=842")</f>
        <v>0</v>
      </c>
      <c r="P40" s="189">
        <f>SUMIFS('Plan prihoda za unos u SAP'!$G$3:$G$501,'Plan prihoda za unos u SAP'!$C$3:$C$501,"=573",'Plan prihoda za unos u SAP'!$K$3:$K$501,"=842")</f>
        <v>0</v>
      </c>
      <c r="Q40" s="189">
        <f>SUMIFS('Plan prihoda za unos u SAP'!$G$3:$G$501,'Plan prihoda za unos u SAP'!$C$3:$C$501,"=575",'Plan prihoda za unos u SAP'!$K$3:$K$501,"=842")</f>
        <v>0</v>
      </c>
      <c r="R40" s="189">
        <f>SUMIFS('Plan prihoda za unos u SAP'!$G$3:$G$501,'Plan prihoda za unos u SAP'!$C$3:$C$501,"=576",'Plan prihoda za unos u SAP'!$K$3:$K$501,"=842")</f>
        <v>0</v>
      </c>
      <c r="S40" s="189">
        <f>SUMIFS('Plan prihoda za unos u SAP'!$G$3:$G$501,'Plan prihoda za unos u SAP'!$C$3:$C$501,"=61",'Plan prihoda za unos u SAP'!$K$3:$K$501,"=842")</f>
        <v>0</v>
      </c>
      <c r="T40" s="189">
        <f>SUMIFS('Plan prihoda za unos u SAP'!$G$3:$G$501,'Plan prihoda za unos u SAP'!$C$3:$C$501,"=63",'Plan prihoda za unos u SAP'!$K$3:$K$501,"=842")</f>
        <v>0</v>
      </c>
      <c r="U40" s="189">
        <f>SUMIFS('Plan prihoda za unos u SAP'!$G$3:$G$501,'Plan prihoda za unos u SAP'!$C$3:$C$501,"=71",'Plan prihoda za unos u SAP'!$K$3:$K$501,"=842")</f>
        <v>0</v>
      </c>
      <c r="V40" s="189">
        <f>SUMIFS('Plan prihoda za unos u SAP'!$G$3:$G$501,'Plan prihoda za unos u SAP'!$C$3:$C$501,"=81",'Plan prihoda za unos u SAP'!$K$3:$K$501,"=842")</f>
        <v>0</v>
      </c>
      <c r="W40" s="189">
        <f>SUMIFS('Plan prihoda za unos u SAP'!$G$3:$G$501,'Plan prihoda za unos u SAP'!$C$3:$C$501,"=83",'Plan prihoda za unos u SAP'!$K$3:$K$501,"=842")</f>
        <v>0</v>
      </c>
    </row>
    <row r="41" spans="1:29" s="90" customFormat="1">
      <c r="A41" s="90">
        <v>2021</v>
      </c>
      <c r="B41" s="98" t="s">
        <v>315</v>
      </c>
      <c r="C41" s="99" t="s">
        <v>306</v>
      </c>
      <c r="D41" s="70">
        <f t="shared" si="1"/>
        <v>0</v>
      </c>
      <c r="E41" s="4">
        <f>SUM(E35:E40)</f>
        <v>0</v>
      </c>
      <c r="F41" s="4">
        <f t="shared" ref="F41:V41" si="8">SUM(F35:F40)</f>
        <v>0</v>
      </c>
      <c r="G41" s="4">
        <f t="shared" si="8"/>
        <v>0</v>
      </c>
      <c r="H41" s="4">
        <f>SUM(H35:H40)</f>
        <v>0</v>
      </c>
      <c r="I41" s="4">
        <f t="shared" si="8"/>
        <v>0</v>
      </c>
      <c r="J41" s="4">
        <f>SUM(J35:J40)</f>
        <v>0</v>
      </c>
      <c r="K41" s="4">
        <f t="shared" si="8"/>
        <v>0</v>
      </c>
      <c r="L41" s="4">
        <f>SUM(L35:L40)</f>
        <v>0</v>
      </c>
      <c r="M41" s="4">
        <f t="shared" si="8"/>
        <v>0</v>
      </c>
      <c r="N41" s="4">
        <f t="shared" si="8"/>
        <v>0</v>
      </c>
      <c r="O41" s="4">
        <f t="shared" si="8"/>
        <v>0</v>
      </c>
      <c r="P41" s="4">
        <f>SUM(P35:P40)</f>
        <v>0</v>
      </c>
      <c r="Q41" s="4">
        <f>SUM(Q35:Q40)</f>
        <v>0</v>
      </c>
      <c r="R41" s="4">
        <f>SUM(R35:R40)</f>
        <v>0</v>
      </c>
      <c r="S41" s="4">
        <f t="shared" si="8"/>
        <v>0</v>
      </c>
      <c r="T41" s="4">
        <f t="shared" si="8"/>
        <v>0</v>
      </c>
      <c r="U41" s="4">
        <f t="shared" si="8"/>
        <v>0</v>
      </c>
      <c r="V41" s="4">
        <f t="shared" si="8"/>
        <v>0</v>
      </c>
      <c r="W41" s="4">
        <f>SUM(W35:W40)</f>
        <v>0</v>
      </c>
    </row>
    <row r="42" spans="1:29" s="90" customFormat="1">
      <c r="A42" s="90">
        <v>2021</v>
      </c>
      <c r="B42" s="296" t="s">
        <v>316</v>
      </c>
      <c r="C42" s="296"/>
      <c r="D42" s="70">
        <f>SUM(E42:W42)</f>
        <v>8205000</v>
      </c>
      <c r="E42" s="71">
        <f>+E41+E34+E27</f>
        <v>7674900</v>
      </c>
      <c r="F42" s="71">
        <f t="shared" ref="F42:U42" si="9">+F41+F34+F27</f>
        <v>0</v>
      </c>
      <c r="G42" s="71">
        <f t="shared" si="9"/>
        <v>70100</v>
      </c>
      <c r="H42" s="71">
        <f>+H41+H34+H27</f>
        <v>0</v>
      </c>
      <c r="I42" s="71">
        <f t="shared" si="9"/>
        <v>440000</v>
      </c>
      <c r="J42" s="71">
        <f t="shared" si="9"/>
        <v>0</v>
      </c>
      <c r="K42" s="71">
        <f t="shared" si="9"/>
        <v>20000</v>
      </c>
      <c r="L42" s="71">
        <f>+L41+L34+L27</f>
        <v>0</v>
      </c>
      <c r="M42" s="71">
        <f>+M41+M34+M27</f>
        <v>0</v>
      </c>
      <c r="N42" s="71">
        <f t="shared" si="9"/>
        <v>0</v>
      </c>
      <c r="O42" s="71">
        <f t="shared" si="9"/>
        <v>0</v>
      </c>
      <c r="P42" s="71">
        <f>+P41+P34+P27</f>
        <v>0</v>
      </c>
      <c r="Q42" s="71">
        <f>+Q41+Q34+Q27</f>
        <v>0</v>
      </c>
      <c r="R42" s="71">
        <f>+R41+R34+R27</f>
        <v>0</v>
      </c>
      <c r="S42" s="71">
        <f t="shared" si="9"/>
        <v>0</v>
      </c>
      <c r="T42" s="71">
        <f t="shared" si="9"/>
        <v>0</v>
      </c>
      <c r="U42" s="71">
        <f t="shared" si="9"/>
        <v>0</v>
      </c>
      <c r="V42" s="71">
        <f>+V41+V34+V27</f>
        <v>0</v>
      </c>
      <c r="W42" s="71">
        <f>+W41+W34+W27</f>
        <v>0</v>
      </c>
    </row>
    <row r="43" spans="1:29">
      <c r="B43" s="62"/>
      <c r="C43" s="62"/>
      <c r="D43" s="62"/>
      <c r="E43" s="62"/>
      <c r="F43" s="62"/>
      <c r="G43" s="62"/>
      <c r="H43" s="62"/>
      <c r="I43" s="103"/>
      <c r="J43" s="104"/>
      <c r="K43" s="104"/>
      <c r="L43" s="104"/>
      <c r="M43" s="104"/>
      <c r="N43" s="104"/>
      <c r="O43" s="104"/>
      <c r="P43" s="104"/>
      <c r="Q43" s="104"/>
      <c r="R43" s="104"/>
      <c r="V43" s="91"/>
      <c r="W43" s="91"/>
    </row>
    <row r="44" spans="1:29" s="90" customFormat="1" ht="15.75">
      <c r="B44" s="291" t="s">
        <v>269</v>
      </c>
      <c r="C44" s="292"/>
      <c r="D44" s="293" t="s">
        <v>783</v>
      </c>
      <c r="E44" s="294"/>
      <c r="F44" s="294"/>
      <c r="G44" s="294"/>
      <c r="H44" s="294"/>
      <c r="I44" s="294"/>
      <c r="J44" s="294"/>
      <c r="K44" s="294"/>
      <c r="L44" s="294"/>
      <c r="M44" s="294"/>
      <c r="N44" s="294"/>
      <c r="O44" s="294"/>
      <c r="P44" s="294"/>
      <c r="Q44" s="294"/>
      <c r="R44" s="294"/>
      <c r="S44" s="294"/>
      <c r="T44" s="294"/>
      <c r="U44" s="294"/>
      <c r="V44" s="295"/>
      <c r="W44" s="218"/>
    </row>
    <row r="45" spans="1:29" s="90" customFormat="1" ht="89.25">
      <c r="A45" s="92" t="s">
        <v>2139</v>
      </c>
      <c r="B45" s="92" t="s">
        <v>270</v>
      </c>
      <c r="C45" s="92" t="s">
        <v>271</v>
      </c>
      <c r="D45" s="184" t="s">
        <v>272</v>
      </c>
      <c r="E45" s="219" t="s">
        <v>353</v>
      </c>
      <c r="F45" s="219" t="s">
        <v>325</v>
      </c>
      <c r="G45" s="220" t="s">
        <v>19</v>
      </c>
      <c r="H45" s="220" t="s">
        <v>1560</v>
      </c>
      <c r="I45" s="220" t="s">
        <v>20</v>
      </c>
      <c r="J45" s="220" t="s">
        <v>273</v>
      </c>
      <c r="K45" s="220" t="s">
        <v>274</v>
      </c>
      <c r="L45" s="220" t="s">
        <v>1561</v>
      </c>
      <c r="M45" s="220" t="s">
        <v>275</v>
      </c>
      <c r="N45" s="220" t="s">
        <v>276</v>
      </c>
      <c r="O45" s="220" t="s">
        <v>277</v>
      </c>
      <c r="P45" s="220" t="s">
        <v>1562</v>
      </c>
      <c r="Q45" s="220" t="s">
        <v>1563</v>
      </c>
      <c r="R45" s="220" t="s">
        <v>2133</v>
      </c>
      <c r="S45" s="220" t="s">
        <v>278</v>
      </c>
      <c r="T45" s="93" t="s">
        <v>279</v>
      </c>
      <c r="U45" s="93" t="s">
        <v>317</v>
      </c>
      <c r="V45" s="93" t="s">
        <v>1533</v>
      </c>
      <c r="W45" s="93"/>
    </row>
    <row r="46" spans="1:29" s="90" customFormat="1">
      <c r="A46" s="90">
        <v>2022</v>
      </c>
      <c r="B46" s="95"/>
      <c r="C46" s="96" t="s">
        <v>11</v>
      </c>
      <c r="D46" s="70">
        <f>SUM(E46:W46)</f>
        <v>990000</v>
      </c>
      <c r="E46" s="188">
        <f t="shared" ref="E46:W46" si="10">-E7</f>
        <v>0</v>
      </c>
      <c r="F46" s="188">
        <f t="shared" si="10"/>
        <v>0</v>
      </c>
      <c r="G46" s="188">
        <f t="shared" si="10"/>
        <v>0</v>
      </c>
      <c r="H46" s="188">
        <f t="shared" si="10"/>
        <v>0</v>
      </c>
      <c r="I46" s="188">
        <f t="shared" si="10"/>
        <v>990000</v>
      </c>
      <c r="J46" s="188">
        <f t="shared" si="10"/>
        <v>0</v>
      </c>
      <c r="K46" s="188">
        <f t="shared" si="10"/>
        <v>0</v>
      </c>
      <c r="L46" s="188">
        <f t="shared" si="10"/>
        <v>0</v>
      </c>
      <c r="M46" s="188">
        <f t="shared" si="10"/>
        <v>0</v>
      </c>
      <c r="N46" s="188">
        <f t="shared" si="10"/>
        <v>0</v>
      </c>
      <c r="O46" s="188">
        <f t="shared" si="10"/>
        <v>0</v>
      </c>
      <c r="P46" s="188">
        <f t="shared" si="10"/>
        <v>0</v>
      </c>
      <c r="Q46" s="188">
        <f t="shared" si="10"/>
        <v>0</v>
      </c>
      <c r="R46" s="188">
        <f t="shared" ref="R46" si="11">-R7</f>
        <v>0</v>
      </c>
      <c r="S46" s="188">
        <f t="shared" si="10"/>
        <v>0</v>
      </c>
      <c r="T46" s="188">
        <f t="shared" si="10"/>
        <v>0</v>
      </c>
      <c r="U46" s="188">
        <f t="shared" si="10"/>
        <v>0</v>
      </c>
      <c r="V46" s="188">
        <f t="shared" si="10"/>
        <v>0</v>
      </c>
      <c r="W46" s="188">
        <f t="shared" si="10"/>
        <v>0</v>
      </c>
      <c r="X46" s="94"/>
      <c r="Y46" s="94"/>
      <c r="Z46" s="94"/>
      <c r="AA46" s="94"/>
      <c r="AB46" s="94"/>
      <c r="AC46" s="94"/>
    </row>
    <row r="47" spans="1:29" s="90" customFormat="1">
      <c r="A47" s="90">
        <v>2022</v>
      </c>
      <c r="B47" s="114"/>
      <c r="C47" s="115" t="s">
        <v>349</v>
      </c>
      <c r="D47" s="70">
        <f t="shared" ref="D47:D80" si="12">SUM(E47:W47)</f>
        <v>8522977</v>
      </c>
      <c r="E47" s="14">
        <f t="shared" ref="E47:V47" si="13">+E68+E75</f>
        <v>7940627</v>
      </c>
      <c r="F47" s="14">
        <f t="shared" si="13"/>
        <v>0</v>
      </c>
      <c r="G47" s="14">
        <f t="shared" si="13"/>
        <v>77100</v>
      </c>
      <c r="H47" s="14">
        <f>+H68+H75</f>
        <v>0</v>
      </c>
      <c r="I47" s="14">
        <f t="shared" si="13"/>
        <v>485250</v>
      </c>
      <c r="J47" s="14">
        <f t="shared" si="13"/>
        <v>0</v>
      </c>
      <c r="K47" s="14">
        <f t="shared" si="13"/>
        <v>20000</v>
      </c>
      <c r="L47" s="14">
        <f>+L68+L75</f>
        <v>0</v>
      </c>
      <c r="M47" s="14">
        <f t="shared" si="13"/>
        <v>0</v>
      </c>
      <c r="N47" s="14">
        <f t="shared" si="13"/>
        <v>0</v>
      </c>
      <c r="O47" s="14">
        <f t="shared" si="13"/>
        <v>0</v>
      </c>
      <c r="P47" s="14">
        <f>+P68+P75</f>
        <v>0</v>
      </c>
      <c r="Q47" s="14">
        <f>+Q68+Q75</f>
        <v>0</v>
      </c>
      <c r="R47" s="14">
        <f>+R68+R75</f>
        <v>0</v>
      </c>
      <c r="S47" s="14">
        <f t="shared" si="13"/>
        <v>0</v>
      </c>
      <c r="T47" s="14">
        <f t="shared" si="13"/>
        <v>0</v>
      </c>
      <c r="U47" s="14">
        <f t="shared" si="13"/>
        <v>0</v>
      </c>
      <c r="V47" s="14">
        <f t="shared" si="13"/>
        <v>0</v>
      </c>
      <c r="W47" s="14">
        <f>+W68+W75</f>
        <v>0</v>
      </c>
    </row>
    <row r="48" spans="1:29" s="90" customFormat="1">
      <c r="A48" s="90">
        <v>2022</v>
      </c>
      <c r="B48" s="95"/>
      <c r="C48" s="96" t="s">
        <v>352</v>
      </c>
      <c r="D48" s="70">
        <f>SUM(E48:W48)</f>
        <v>-1083000</v>
      </c>
      <c r="E48" s="113"/>
      <c r="F48" s="113"/>
      <c r="G48" s="113"/>
      <c r="H48" s="113"/>
      <c r="I48" s="113">
        <v>-1083000</v>
      </c>
      <c r="J48" s="113"/>
      <c r="K48" s="113"/>
      <c r="L48" s="113"/>
      <c r="M48" s="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94"/>
      <c r="Y48" s="94"/>
      <c r="Z48" s="94"/>
      <c r="AA48" s="94"/>
      <c r="AB48" s="94"/>
      <c r="AC48" s="94"/>
    </row>
    <row r="49" spans="1:29" s="90" customFormat="1">
      <c r="A49" s="90">
        <v>2022</v>
      </c>
      <c r="B49" s="114"/>
      <c r="C49" s="115" t="s">
        <v>280</v>
      </c>
      <c r="D49" s="70">
        <f t="shared" si="12"/>
        <v>8429977</v>
      </c>
      <c r="E49" s="14">
        <f>+E46+E47+E48</f>
        <v>7940627</v>
      </c>
      <c r="F49" s="14">
        <f t="shared" ref="F49:V49" si="14">+F46+F47+F48</f>
        <v>0</v>
      </c>
      <c r="G49" s="14">
        <f t="shared" si="14"/>
        <v>77100</v>
      </c>
      <c r="H49" s="14">
        <f>+H46+H47+H48</f>
        <v>0</v>
      </c>
      <c r="I49" s="14">
        <f t="shared" si="14"/>
        <v>392250</v>
      </c>
      <c r="J49" s="14">
        <f t="shared" si="14"/>
        <v>0</v>
      </c>
      <c r="K49" s="14">
        <f t="shared" si="14"/>
        <v>20000</v>
      </c>
      <c r="L49" s="14">
        <f>+L46+L47+L48</f>
        <v>0</v>
      </c>
      <c r="M49" s="14">
        <f t="shared" si="14"/>
        <v>0</v>
      </c>
      <c r="N49" s="14">
        <f t="shared" si="14"/>
        <v>0</v>
      </c>
      <c r="O49" s="14">
        <f t="shared" si="14"/>
        <v>0</v>
      </c>
      <c r="P49" s="14">
        <f>+P46+P47+P48</f>
        <v>0</v>
      </c>
      <c r="Q49" s="14">
        <f>+Q46+Q47+Q48</f>
        <v>0</v>
      </c>
      <c r="R49" s="14">
        <f>+R46+R47+R48</f>
        <v>0</v>
      </c>
      <c r="S49" s="14">
        <f t="shared" si="14"/>
        <v>0</v>
      </c>
      <c r="T49" s="14">
        <f t="shared" si="14"/>
        <v>0</v>
      </c>
      <c r="U49" s="14">
        <f t="shared" si="14"/>
        <v>0</v>
      </c>
      <c r="V49" s="14">
        <f t="shared" si="14"/>
        <v>0</v>
      </c>
      <c r="W49" s="14">
        <f>+W46+W47+W48</f>
        <v>0</v>
      </c>
    </row>
    <row r="50" spans="1:29" s="90" customFormat="1">
      <c r="A50" s="90">
        <v>2022</v>
      </c>
      <c r="B50" s="111"/>
      <c r="C50" s="112" t="s">
        <v>235</v>
      </c>
      <c r="D50" s="70">
        <f t="shared" si="12"/>
        <v>8429977</v>
      </c>
      <c r="E50" s="136">
        <f>+'PLAN RASHODA I IZDATAKA'!E71</f>
        <v>7940627</v>
      </c>
      <c r="F50" s="136">
        <f>+'PLAN RASHODA I IZDATAKA'!F71</f>
        <v>0</v>
      </c>
      <c r="G50" s="136">
        <f>+'PLAN RASHODA I IZDATAKA'!G71</f>
        <v>77100</v>
      </c>
      <c r="H50" s="136">
        <f>+'PLAN RASHODA I IZDATAKA'!H71</f>
        <v>0</v>
      </c>
      <c r="I50" s="136">
        <f>+'PLAN RASHODA I IZDATAKA'!I71</f>
        <v>392250</v>
      </c>
      <c r="J50" s="136">
        <f>+'PLAN RASHODA I IZDATAKA'!J71</f>
        <v>0</v>
      </c>
      <c r="K50" s="136">
        <f>+'PLAN RASHODA I IZDATAKA'!K71</f>
        <v>20000</v>
      </c>
      <c r="L50" s="136">
        <f>+'PLAN RASHODA I IZDATAKA'!L71</f>
        <v>0</v>
      </c>
      <c r="M50" s="136">
        <f>+'PLAN RASHODA I IZDATAKA'!M71</f>
        <v>0</v>
      </c>
      <c r="N50" s="136">
        <f>+'PLAN RASHODA I IZDATAKA'!N71</f>
        <v>0</v>
      </c>
      <c r="O50" s="136">
        <f>+'PLAN RASHODA I IZDATAKA'!O71</f>
        <v>0</v>
      </c>
      <c r="P50" s="136">
        <f>+'PLAN RASHODA I IZDATAKA'!P71</f>
        <v>0</v>
      </c>
      <c r="Q50" s="136">
        <f>+'PLAN RASHODA I IZDATAKA'!Q71</f>
        <v>0</v>
      </c>
      <c r="R50" s="136">
        <f>+'PLAN RASHODA I IZDATAKA'!R71</f>
        <v>0</v>
      </c>
      <c r="S50" s="136">
        <f>+'PLAN RASHODA I IZDATAKA'!S71</f>
        <v>0</v>
      </c>
      <c r="T50" s="136">
        <f>+'PLAN RASHODA I IZDATAKA'!T71</f>
        <v>0</v>
      </c>
      <c r="U50" s="136">
        <f>+'PLAN RASHODA I IZDATAKA'!U71</f>
        <v>0</v>
      </c>
      <c r="V50" s="136">
        <f>+'PLAN RASHODA I IZDATAKA'!V71</f>
        <v>0</v>
      </c>
      <c r="W50" s="136">
        <f>+'PLAN RASHODA I IZDATAKA'!W71</f>
        <v>0</v>
      </c>
      <c r="X50" s="94"/>
      <c r="Y50" s="94"/>
      <c r="Z50" s="94"/>
      <c r="AA50" s="94"/>
      <c r="AB50" s="94"/>
      <c r="AC50" s="94"/>
    </row>
    <row r="51" spans="1:29" s="90" customFormat="1" ht="13.5" thickBot="1">
      <c r="A51" s="90">
        <v>2022</v>
      </c>
      <c r="B51" s="116"/>
      <c r="C51" s="117" t="s">
        <v>351</v>
      </c>
      <c r="D51" s="69">
        <f t="shared" si="12"/>
        <v>0</v>
      </c>
      <c r="E51" s="118">
        <f>+E49-E50</f>
        <v>0</v>
      </c>
      <c r="F51" s="118">
        <f t="shared" ref="F51:V51" si="15">+F49-F50</f>
        <v>0</v>
      </c>
      <c r="G51" s="118">
        <f t="shared" si="15"/>
        <v>0</v>
      </c>
      <c r="H51" s="118">
        <f>+H49-H50</f>
        <v>0</v>
      </c>
      <c r="I51" s="118">
        <f t="shared" si="15"/>
        <v>0</v>
      </c>
      <c r="J51" s="118">
        <f t="shared" si="15"/>
        <v>0</v>
      </c>
      <c r="K51" s="118">
        <f t="shared" si="15"/>
        <v>0</v>
      </c>
      <c r="L51" s="118">
        <f>+L49-L50</f>
        <v>0</v>
      </c>
      <c r="M51" s="118">
        <f t="shared" si="15"/>
        <v>0</v>
      </c>
      <c r="N51" s="118">
        <f t="shared" si="15"/>
        <v>0</v>
      </c>
      <c r="O51" s="118">
        <f t="shared" si="15"/>
        <v>0</v>
      </c>
      <c r="P51" s="118">
        <f>+P49-P50</f>
        <v>0</v>
      </c>
      <c r="Q51" s="118">
        <f>+Q49-Q50</f>
        <v>0</v>
      </c>
      <c r="R51" s="118">
        <f>+R49-R50</f>
        <v>0</v>
      </c>
      <c r="S51" s="118">
        <f t="shared" si="15"/>
        <v>0</v>
      </c>
      <c r="T51" s="118">
        <f t="shared" si="15"/>
        <v>0</v>
      </c>
      <c r="U51" s="118">
        <f t="shared" si="15"/>
        <v>0</v>
      </c>
      <c r="V51" s="118">
        <f t="shared" si="15"/>
        <v>0</v>
      </c>
      <c r="W51" s="118">
        <f>+W49-W50</f>
        <v>0</v>
      </c>
    </row>
    <row r="52" spans="1:29" s="90" customFormat="1">
      <c r="A52" s="90">
        <v>2022</v>
      </c>
      <c r="B52" s="97" t="s">
        <v>1565</v>
      </c>
      <c r="C52" s="110" t="s">
        <v>1566</v>
      </c>
      <c r="D52" s="70">
        <f>SUM(E52:W52)</f>
        <v>0</v>
      </c>
      <c r="E52" s="189">
        <f>SUMIFS('Plan prihoda za unos u SAP'!$H$3:$H$501,'Plan prihoda za unos u SAP'!$C$3:$C$501,"=11",'Plan prihoda za unos u SAP'!$K$3:$K$501,"=614")</f>
        <v>0</v>
      </c>
      <c r="F52" s="189">
        <f>SUMIFS('Plan prihoda za unos u SAP'!$H$3:$H$501,'Plan prihoda za unos u SAP'!$C$3:$C$501,"=12",'Plan prihoda za unos u SAP'!$K$3:$K$501,"=614")</f>
        <v>0</v>
      </c>
      <c r="G52" s="189">
        <f>SUMIFS('Plan prihoda za unos u SAP'!$H$3:$H$501,'Plan prihoda za unos u SAP'!$C$3:$C$501,"=31",'Plan prihoda za unos u SAP'!$K$3:$K$501,"=614")</f>
        <v>0</v>
      </c>
      <c r="H52" s="189">
        <f>SUMIFS('Plan prihoda za unos u SAP'!$H$3:$H$501,'Plan prihoda za unos u SAP'!$C$3:$C$501,"=41",'Plan prihoda za unos u SAP'!$K$3:$K$501,"=614")</f>
        <v>0</v>
      </c>
      <c r="I52" s="189">
        <f>SUMIFS('Plan prihoda za unos u SAP'!$H$3:$H$501,'Plan prihoda za unos u SAP'!$C$3:$C$501,"=43",'Plan prihoda za unos u SAP'!$K$3:$K$501,"=614")</f>
        <v>0</v>
      </c>
      <c r="J52" s="189">
        <f>SUMIFS('Plan prihoda za unos u SAP'!$H$3:$H$501,'Plan prihoda za unos u SAP'!$C$3:$C$501,"=51",'Plan prihoda za unos u SAP'!$K$3:$K$501,"=614")</f>
        <v>0</v>
      </c>
      <c r="K52" s="189">
        <f>SUMIFS('Plan prihoda za unos u SAP'!$H$3:$H$501,'Plan prihoda za unos u SAP'!$C$3:$C$501,"=52",'Plan prihoda za unos u SAP'!$K$3:$K$501,"=614")</f>
        <v>0</v>
      </c>
      <c r="L52" s="189">
        <f>SUMIFS('Plan prihoda za unos u SAP'!$H$3:$H$501,'Plan prihoda za unos u SAP'!$C$3:$C$501,"=552",'Plan prihoda za unos u SAP'!$K$3:$K$501,"=614")</f>
        <v>0</v>
      </c>
      <c r="M52" s="189">
        <f>SUMIFS('Plan prihoda za unos u SAP'!$H$3:$H$501,'Plan prihoda za unos u SAP'!$C$3:$C$501,"=559",'Plan prihoda za unos u SAP'!$K$3:$K$501,"=614")</f>
        <v>0</v>
      </c>
      <c r="N52" s="189">
        <f>SUMIFS('Plan prihoda za unos u SAP'!$H$3:$H$501,'Plan prihoda za unos u SAP'!$C$3:$C$501,"=561",'Plan prihoda za unos u SAP'!$K$3:$K$501,"=614")</f>
        <v>0</v>
      </c>
      <c r="O52" s="189">
        <f>SUMIFS('Plan prihoda za unos u SAP'!$H$3:$H$501,'Plan prihoda za unos u SAP'!$C$3:$C$501,"=563",'Plan prihoda za unos u SAP'!$K$3:$K$501,"=614")</f>
        <v>0</v>
      </c>
      <c r="P52" s="189">
        <f>SUMIFS('Plan prihoda za unos u SAP'!$H$3:$H$501,'Plan prihoda za unos u SAP'!$C$3:$C$501,"=573",'Plan prihoda za unos u SAP'!$K$3:$K$501,"=614")</f>
        <v>0</v>
      </c>
      <c r="Q52" s="189">
        <f>SUMIFS('Plan prihoda za unos u SAP'!$H$3:$H$501,'Plan prihoda za unos u SAP'!$C$3:$C$501,"=575",'Plan prihoda za unos u SAP'!$K$3:$K$501,"=614")</f>
        <v>0</v>
      </c>
      <c r="R52" s="189">
        <f>SUMIFS('Plan prihoda za unos u SAP'!$H$3:$H$501,'Plan prihoda za unos u SAP'!$C$3:$C$501,"=576",'Plan prihoda za unos u SAP'!$K$3:$K$501,"=614")</f>
        <v>0</v>
      </c>
      <c r="S52" s="189">
        <f>SUMIFS('Plan prihoda za unos u SAP'!$H$3:$H$501,'Plan prihoda za unos u SAP'!$C$3:$C$501,"=61",'Plan prihoda za unos u SAP'!$K$3:$K$501,"=614")</f>
        <v>0</v>
      </c>
      <c r="T52" s="189">
        <f>SUMIFS('Plan prihoda za unos u SAP'!$H$3:$H$501,'Plan prihoda za unos u SAP'!$C$3:$C$501,"=63",'Plan prihoda za unos u SAP'!$K$3:$K$501,"=614")</f>
        <v>0</v>
      </c>
      <c r="U52" s="189">
        <f>SUMIFS('Plan prihoda za unos u SAP'!$H$3:$H$501,'Plan prihoda za unos u SAP'!$C$3:$C$501,"=71",'Plan prihoda za unos u SAP'!$K$3:$K$501,"=614")</f>
        <v>0</v>
      </c>
      <c r="V52" s="189">
        <f>SUMIFS('Plan prihoda za unos u SAP'!$H$3:$H$501,'Plan prihoda za unos u SAP'!$C$3:$C$501,"=81",'Plan prihoda za unos u SAP'!$K$3:$K$501,"=614")</f>
        <v>0</v>
      </c>
      <c r="W52" s="189">
        <f>SUMIFS('Plan prihoda za unos u SAP'!$H$3:$H$501,'Plan prihoda za unos u SAP'!$C$3:$C$501,"=83",'Plan prihoda za unos u SAP'!$K$3:$K$501,"=614")</f>
        <v>0</v>
      </c>
    </row>
    <row r="53" spans="1:29" s="90" customFormat="1">
      <c r="A53" s="90">
        <v>2022</v>
      </c>
      <c r="B53" s="97" t="s">
        <v>281</v>
      </c>
      <c r="C53" s="96" t="s">
        <v>282</v>
      </c>
      <c r="D53" s="70">
        <f t="shared" si="12"/>
        <v>0</v>
      </c>
      <c r="E53" s="189">
        <f>SUMIFS('Plan prihoda za unos u SAP'!$H$3:$H$501,'Plan prihoda za unos u SAP'!$C$3:$C$501,"=11",'Plan prihoda za unos u SAP'!$K$3:$K$501,"=631")</f>
        <v>0</v>
      </c>
      <c r="F53" s="189">
        <f>SUMIFS('Plan prihoda za unos u SAP'!$H$3:$H$501,'Plan prihoda za unos u SAP'!$C$3:$C$501,"=12",'Plan prihoda za unos u SAP'!$K$3:$K$501,"=631")</f>
        <v>0</v>
      </c>
      <c r="G53" s="189">
        <f>SUMIFS('Plan prihoda za unos u SAP'!$H$3:$H$501,'Plan prihoda za unos u SAP'!$C$3:$C$501,"=31",'Plan prihoda za unos u SAP'!$K$3:$K$501,"=631")</f>
        <v>0</v>
      </c>
      <c r="H53" s="189">
        <f>SUMIFS('Plan prihoda za unos u SAP'!$H$3:$H$501,'Plan prihoda za unos u SAP'!$C$3:$C$501,"=41",'Plan prihoda za unos u SAP'!$K$3:$K$501,"=631")</f>
        <v>0</v>
      </c>
      <c r="I53" s="189">
        <f>SUMIFS('Plan prihoda za unos u SAP'!$H$3:$H$501,'Plan prihoda za unos u SAP'!$C$3:$C$501,"=43",'Plan prihoda za unos u SAP'!$K$3:$K$501,"=631")</f>
        <v>0</v>
      </c>
      <c r="J53" s="189">
        <f>SUMIFS('Plan prihoda za unos u SAP'!$H$3:$H$501,'Plan prihoda za unos u SAP'!$C$3:$C$501,"=51",'Plan prihoda za unos u SAP'!$K$3:$K$501,"=631")</f>
        <v>0</v>
      </c>
      <c r="K53" s="189">
        <f>SUMIFS('Plan prihoda za unos u SAP'!$H$3:$H$501,'Plan prihoda za unos u SAP'!$C$3:$C$501,"=52",'Plan prihoda za unos u SAP'!$K$3:$K$501,"=631")</f>
        <v>0</v>
      </c>
      <c r="L53" s="189">
        <f>SUMIFS('Plan prihoda za unos u SAP'!$H$3:$H$501,'Plan prihoda za unos u SAP'!$C$3:$C$501,"=552",'Plan prihoda za unos u SAP'!$K$3:$K$501,"=631")</f>
        <v>0</v>
      </c>
      <c r="M53" s="189">
        <f>SUMIFS('Plan prihoda za unos u SAP'!$H$3:$H$501,'Plan prihoda za unos u SAP'!$C$3:$C$501,"=559",'Plan prihoda za unos u SAP'!$K$3:$K$501,"=631")</f>
        <v>0</v>
      </c>
      <c r="N53" s="189">
        <f>SUMIFS('Plan prihoda za unos u SAP'!$H$3:$H$501,'Plan prihoda za unos u SAP'!$C$3:$C$501,"=561",'Plan prihoda za unos u SAP'!$K$3:$K$501,"=631")</f>
        <v>0</v>
      </c>
      <c r="O53" s="189">
        <f>SUMIFS('Plan prihoda za unos u SAP'!$H$3:$H$501,'Plan prihoda za unos u SAP'!$C$3:$C$501,"=563",'Plan prihoda za unos u SAP'!$K$3:$K$501,"=631")</f>
        <v>0</v>
      </c>
      <c r="P53" s="189">
        <f>SUMIFS('Plan prihoda za unos u SAP'!$H$3:$H$501,'Plan prihoda za unos u SAP'!$C$3:$C$501,"=573",'Plan prihoda za unos u SAP'!$K$3:$K$501,"=631")</f>
        <v>0</v>
      </c>
      <c r="Q53" s="189">
        <f>SUMIFS('Plan prihoda za unos u SAP'!$H$3:$H$501,'Plan prihoda za unos u SAP'!$C$3:$C$501,"=575",'Plan prihoda za unos u SAP'!$K$3:$K$501,"=631")</f>
        <v>0</v>
      </c>
      <c r="R53" s="189">
        <f>SUMIFS('Plan prihoda za unos u SAP'!$H$3:$H$501,'Plan prihoda za unos u SAP'!$C$3:$C$501,"=576",'Plan prihoda za unos u SAP'!$K$3:$K$501,"=631")</f>
        <v>0</v>
      </c>
      <c r="S53" s="189">
        <f>SUMIFS('Plan prihoda za unos u SAP'!$H$3:$H$501,'Plan prihoda za unos u SAP'!$C$3:$C$501,"=61",'Plan prihoda za unos u SAP'!$K$3:$K$501,"=631")</f>
        <v>0</v>
      </c>
      <c r="T53" s="189">
        <f>SUMIFS('Plan prihoda za unos u SAP'!$H$3:$H$501,'Plan prihoda za unos u SAP'!$C$3:$C$501,"=63",'Plan prihoda za unos u SAP'!$K$3:$K$501,"=631")</f>
        <v>0</v>
      </c>
      <c r="U53" s="189">
        <f>SUMIFS('Plan prihoda za unos u SAP'!$H$3:$H$501,'Plan prihoda za unos u SAP'!$C$3:$C$501,"=71",'Plan prihoda za unos u SAP'!$K$3:$K$501,"=631")</f>
        <v>0</v>
      </c>
      <c r="V53" s="189">
        <f>SUMIFS('Plan prihoda za unos u SAP'!$H$3:$H$501,'Plan prihoda za unos u SAP'!$C$3:$C$501,"=81",'Plan prihoda za unos u SAP'!$K$3:$K$501,"=631")</f>
        <v>0</v>
      </c>
      <c r="W53" s="189">
        <f>SUMIFS('Plan prihoda za unos u SAP'!$H$3:$H$501,'Plan prihoda za unos u SAP'!$C$3:$C$501,"=83",'Plan prihoda za unos u SAP'!$K$3:$K$501,"=631")</f>
        <v>0</v>
      </c>
    </row>
    <row r="54" spans="1:29" s="90" customFormat="1">
      <c r="A54" s="90">
        <v>2022</v>
      </c>
      <c r="B54" s="95" t="s">
        <v>283</v>
      </c>
      <c r="C54" s="96" t="s">
        <v>284</v>
      </c>
      <c r="D54" s="70">
        <f t="shared" si="12"/>
        <v>0</v>
      </c>
      <c r="E54" s="189">
        <f>SUMIFS('Plan prihoda za unos u SAP'!$H$3:$H$501,'Plan prihoda za unos u SAP'!$C$3:$C$501,"=11",'Plan prihoda za unos u SAP'!$K$3:$K$501,"=632")</f>
        <v>0</v>
      </c>
      <c r="F54" s="189">
        <f>SUMIFS('Plan prihoda za unos u SAP'!$H$3:$H$501,'Plan prihoda za unos u SAP'!$C$3:$C$501,"=12",'Plan prihoda za unos u SAP'!$K$3:$K$501,"=632")</f>
        <v>0</v>
      </c>
      <c r="G54" s="189">
        <f>SUMIFS('Plan prihoda za unos u SAP'!$H$3:$H$501,'Plan prihoda za unos u SAP'!$C$3:$C$501,"=31",'Plan prihoda za unos u SAP'!$K$3:$K$501,"=632")</f>
        <v>0</v>
      </c>
      <c r="H54" s="189">
        <f>SUMIFS('Plan prihoda za unos u SAP'!$H$3:$H$501,'Plan prihoda za unos u SAP'!$C$3:$C$501,"=41",'Plan prihoda za unos u SAP'!$K$3:$K$501,"=632")</f>
        <v>0</v>
      </c>
      <c r="I54" s="189">
        <f>SUMIFS('Plan prihoda za unos u SAP'!$H$3:$H$501,'Plan prihoda za unos u SAP'!$C$3:$C$501,"=43",'Plan prihoda za unos u SAP'!$K$3:$K$501,"=632")</f>
        <v>0</v>
      </c>
      <c r="J54" s="189">
        <f>SUMIFS('Plan prihoda za unos u SAP'!$H$3:$H$501,'Plan prihoda za unos u SAP'!$C$3:$C$501,"=51",'Plan prihoda za unos u SAP'!$K$3:$K$501,"=632")</f>
        <v>0</v>
      </c>
      <c r="K54" s="189">
        <f>SUMIFS('Plan prihoda za unos u SAP'!$H$3:$H$501,'Plan prihoda za unos u SAP'!$C$3:$C$501,"=52",'Plan prihoda za unos u SAP'!$K$3:$K$501,"=632")</f>
        <v>0</v>
      </c>
      <c r="L54" s="189">
        <f>SUMIFS('Plan prihoda za unos u SAP'!$H$3:$H$501,'Plan prihoda za unos u SAP'!$C$3:$C$501,"=552",'Plan prihoda za unos u SAP'!$K$3:$K$501,"=632")</f>
        <v>0</v>
      </c>
      <c r="M54" s="189">
        <f>SUMIFS('Plan prihoda za unos u SAP'!$H$3:$H$501,'Plan prihoda za unos u SAP'!$C$3:$C$501,"=559",'Plan prihoda za unos u SAP'!$K$3:$K$501,"=632")</f>
        <v>0</v>
      </c>
      <c r="N54" s="189">
        <f>SUMIFS('Plan prihoda za unos u SAP'!$H$3:$H$501,'Plan prihoda za unos u SAP'!$C$3:$C$501,"=561",'Plan prihoda za unos u SAP'!$K$3:$K$501,"=632")</f>
        <v>0</v>
      </c>
      <c r="O54" s="189">
        <f>SUMIFS('Plan prihoda za unos u SAP'!$H$3:$H$501,'Plan prihoda za unos u SAP'!$C$3:$C$501,"=563",'Plan prihoda za unos u SAP'!$K$3:$K$501,"=632")</f>
        <v>0</v>
      </c>
      <c r="P54" s="189">
        <f>SUMIFS('Plan prihoda za unos u SAP'!$H$3:$H$501,'Plan prihoda za unos u SAP'!$C$3:$C$501,"=573",'Plan prihoda za unos u SAP'!$K$3:$K$501,"=632")</f>
        <v>0</v>
      </c>
      <c r="Q54" s="189">
        <f>SUMIFS('Plan prihoda za unos u SAP'!$H$3:$H$501,'Plan prihoda za unos u SAP'!$C$3:$C$501,"=575",'Plan prihoda za unos u SAP'!$K$3:$K$501,"=632")</f>
        <v>0</v>
      </c>
      <c r="R54" s="189">
        <f>SUMIFS('Plan prihoda za unos u SAP'!$H$3:$H$501,'Plan prihoda za unos u SAP'!$C$3:$C$501,"=576",'Plan prihoda za unos u SAP'!$K$3:$K$501,"=632")</f>
        <v>0</v>
      </c>
      <c r="S54" s="189">
        <f>SUMIFS('Plan prihoda za unos u SAP'!$H$3:$H$501,'Plan prihoda za unos u SAP'!$C$3:$C$501,"=61",'Plan prihoda za unos u SAP'!$K$3:$K$501,"=632")</f>
        <v>0</v>
      </c>
      <c r="T54" s="189">
        <f>SUMIFS('Plan prihoda za unos u SAP'!$H$3:$H$501,'Plan prihoda za unos u SAP'!$C$3:$C$501,"=63",'Plan prihoda za unos u SAP'!$K$3:$K$501,"=632")</f>
        <v>0</v>
      </c>
      <c r="U54" s="189">
        <f>SUMIFS('Plan prihoda za unos u SAP'!$H$3:$H$501,'Plan prihoda za unos u SAP'!$C$3:$C$501,"=71",'Plan prihoda za unos u SAP'!$K$3:$K$501,"=632")</f>
        <v>0</v>
      </c>
      <c r="V54" s="189">
        <f>SUMIFS('Plan prihoda za unos u SAP'!$H$3:$H$501,'Plan prihoda za unos u SAP'!$C$3:$C$501,"=81",'Plan prihoda za unos u SAP'!$K$3:$K$501,"=632")</f>
        <v>0</v>
      </c>
      <c r="W54" s="189">
        <f>SUMIFS('Plan prihoda za unos u SAP'!$H$3:$H$501,'Plan prihoda za unos u SAP'!$C$3:$C$501,"=83",'Plan prihoda za unos u SAP'!$K$3:$K$501,"=632")</f>
        <v>0</v>
      </c>
    </row>
    <row r="55" spans="1:29" s="90" customFormat="1">
      <c r="A55" s="90">
        <v>2022</v>
      </c>
      <c r="B55" s="95" t="s">
        <v>285</v>
      </c>
      <c r="C55" s="96" t="s">
        <v>286</v>
      </c>
      <c r="D55" s="70">
        <f t="shared" si="12"/>
        <v>0</v>
      </c>
      <c r="E55" s="189">
        <f>SUMIFS('Plan prihoda za unos u SAP'!$H$3:$H$501,'Plan prihoda za unos u SAP'!$C$3:$C$501,"=11",'Plan prihoda za unos u SAP'!$K$3:$K$501,"=634")</f>
        <v>0</v>
      </c>
      <c r="F55" s="189">
        <f>SUMIFS('Plan prihoda za unos u SAP'!$H$3:$H$501,'Plan prihoda za unos u SAP'!$C$3:$C$501,"=12",'Plan prihoda za unos u SAP'!$K$3:$K$501,"=634")</f>
        <v>0</v>
      </c>
      <c r="G55" s="189">
        <f>SUMIFS('Plan prihoda za unos u SAP'!$H$3:$H$501,'Plan prihoda za unos u SAP'!$C$3:$C$501,"=31",'Plan prihoda za unos u SAP'!$K$3:$K$501,"=634")</f>
        <v>0</v>
      </c>
      <c r="H55" s="189">
        <f>SUMIFS('Plan prihoda za unos u SAP'!$H$3:$H$501,'Plan prihoda za unos u SAP'!$C$3:$C$501,"=41",'Plan prihoda za unos u SAP'!$K$3:$K$501,"=634")</f>
        <v>0</v>
      </c>
      <c r="I55" s="189">
        <f>SUMIFS('Plan prihoda za unos u SAP'!$H$3:$H$501,'Plan prihoda za unos u SAP'!$C$3:$C$501,"=43",'Plan prihoda za unos u SAP'!$K$3:$K$501,"=634")</f>
        <v>0</v>
      </c>
      <c r="J55" s="189">
        <f>SUMIFS('Plan prihoda za unos u SAP'!$H$3:$H$501,'Plan prihoda za unos u SAP'!$C$3:$C$501,"=51",'Plan prihoda za unos u SAP'!$K$3:$K$501,"=634")</f>
        <v>0</v>
      </c>
      <c r="K55" s="189">
        <f>SUMIFS('Plan prihoda za unos u SAP'!$H$3:$H$501,'Plan prihoda za unos u SAP'!$C$3:$C$501,"=52",'Plan prihoda za unos u SAP'!$K$3:$K$501,"=634")</f>
        <v>0</v>
      </c>
      <c r="L55" s="189">
        <f>SUMIFS('Plan prihoda za unos u SAP'!$H$3:$H$501,'Plan prihoda za unos u SAP'!$C$3:$C$501,"=552",'Plan prihoda za unos u SAP'!$K$3:$K$501,"=634")</f>
        <v>0</v>
      </c>
      <c r="M55" s="189">
        <f>SUMIFS('Plan prihoda za unos u SAP'!$H$3:$H$501,'Plan prihoda za unos u SAP'!$C$3:$C$501,"=559",'Plan prihoda za unos u SAP'!$K$3:$K$501,"=634")</f>
        <v>0</v>
      </c>
      <c r="N55" s="189">
        <f>SUMIFS('Plan prihoda za unos u SAP'!$H$3:$H$501,'Plan prihoda za unos u SAP'!$C$3:$C$501,"=561",'Plan prihoda za unos u SAP'!$K$3:$K$501,"=634")</f>
        <v>0</v>
      </c>
      <c r="O55" s="189">
        <f>SUMIFS('Plan prihoda za unos u SAP'!$H$3:$H$501,'Plan prihoda za unos u SAP'!$C$3:$C$501,"=563",'Plan prihoda za unos u SAP'!$K$3:$K$501,"=634")</f>
        <v>0</v>
      </c>
      <c r="P55" s="189">
        <f>SUMIFS('Plan prihoda za unos u SAP'!$H$3:$H$501,'Plan prihoda za unos u SAP'!$C$3:$C$501,"=573",'Plan prihoda za unos u SAP'!$K$3:$K$501,"=634")</f>
        <v>0</v>
      </c>
      <c r="Q55" s="189">
        <f>SUMIFS('Plan prihoda za unos u SAP'!$H$3:$H$501,'Plan prihoda za unos u SAP'!$C$3:$C$501,"=575",'Plan prihoda za unos u SAP'!$K$3:$K$501,"=634")</f>
        <v>0</v>
      </c>
      <c r="R55" s="189">
        <f>SUMIFS('Plan prihoda za unos u SAP'!$H$3:$H$501,'Plan prihoda za unos u SAP'!$C$3:$C$501,"=576",'Plan prihoda za unos u SAP'!$K$3:$K$501,"=634")</f>
        <v>0</v>
      </c>
      <c r="S55" s="189">
        <f>SUMIFS('Plan prihoda za unos u SAP'!$H$3:$H$501,'Plan prihoda za unos u SAP'!$C$3:$C$501,"=61",'Plan prihoda za unos u SAP'!$K$3:$K$501,"=634")</f>
        <v>0</v>
      </c>
      <c r="T55" s="189">
        <f>SUMIFS('Plan prihoda za unos u SAP'!$H$3:$H$501,'Plan prihoda za unos u SAP'!$C$3:$C$501,"=63",'Plan prihoda za unos u SAP'!$K$3:$K$501,"=634")</f>
        <v>0</v>
      </c>
      <c r="U55" s="189">
        <f>SUMIFS('Plan prihoda za unos u SAP'!$H$3:$H$501,'Plan prihoda za unos u SAP'!$C$3:$C$501,"=71",'Plan prihoda za unos u SAP'!$K$3:$K$501,"=634")</f>
        <v>0</v>
      </c>
      <c r="V55" s="189">
        <f>SUMIFS('Plan prihoda za unos u SAP'!$H$3:$H$501,'Plan prihoda za unos u SAP'!$C$3:$C$501,"=81",'Plan prihoda za unos u SAP'!$K$3:$K$501,"=634")</f>
        <v>0</v>
      </c>
      <c r="W55" s="189">
        <f>SUMIFS('Plan prihoda za unos u SAP'!$H$3:$H$501,'Plan prihoda za unos u SAP'!$C$3:$C$501,"=83",'Plan prihoda za unos u SAP'!$K$3:$K$501,"=634")</f>
        <v>0</v>
      </c>
    </row>
    <row r="56" spans="1:29" s="90" customFormat="1">
      <c r="A56" s="90">
        <v>2022</v>
      </c>
      <c r="B56" s="215" t="s">
        <v>762</v>
      </c>
      <c r="C56" s="96" t="s">
        <v>763</v>
      </c>
      <c r="D56" s="70">
        <f t="shared" si="12"/>
        <v>20000</v>
      </c>
      <c r="E56" s="189">
        <f>SUMIFS('Plan prihoda za unos u SAP'!$H$3:$H$501,'Plan prihoda za unos u SAP'!$C$3:$C$501,"=11",'Plan prihoda za unos u SAP'!$K$3:$K$501,"=636")</f>
        <v>0</v>
      </c>
      <c r="F56" s="189">
        <f>SUMIFS('Plan prihoda za unos u SAP'!$H$3:$H$501,'Plan prihoda za unos u SAP'!$C$3:$C$501,"=12",'Plan prihoda za unos u SAP'!$K$3:$K$501,"=636")</f>
        <v>0</v>
      </c>
      <c r="G56" s="189">
        <f>SUMIFS('Plan prihoda za unos u SAP'!$H$3:$H$501,'Plan prihoda za unos u SAP'!$C$3:$C$501,"=31",'Plan prihoda za unos u SAP'!$K$3:$K$501,"=636")</f>
        <v>0</v>
      </c>
      <c r="H56" s="189">
        <f>SUMIFS('Plan prihoda za unos u SAP'!$H$3:$H$501,'Plan prihoda za unos u SAP'!$C$3:$C$501,"=41",'Plan prihoda za unos u SAP'!$K$3:$K$501,"=636")</f>
        <v>0</v>
      </c>
      <c r="I56" s="189">
        <f>SUMIFS('Plan prihoda za unos u SAP'!$H$3:$H$501,'Plan prihoda za unos u SAP'!$C$3:$C$501,"=43",'Plan prihoda za unos u SAP'!$K$3:$K$501,"=636")</f>
        <v>0</v>
      </c>
      <c r="J56" s="189">
        <f>SUMIFS('Plan prihoda za unos u SAP'!$H$3:$H$501,'Plan prihoda za unos u SAP'!$C$3:$C$501,"=51",'Plan prihoda za unos u SAP'!$K$3:$K$501,"=636")</f>
        <v>0</v>
      </c>
      <c r="K56" s="189">
        <f>SUMIFS('Plan prihoda za unos u SAP'!$H$3:$H$501,'Plan prihoda za unos u SAP'!$C$3:$C$501,"=52",'Plan prihoda za unos u SAP'!$K$3:$K$501,"=636")</f>
        <v>20000</v>
      </c>
      <c r="L56" s="189">
        <f>SUMIFS('Plan prihoda za unos u SAP'!$H$3:$H$501,'Plan prihoda za unos u SAP'!$C$3:$C$501,"=552",'Plan prihoda za unos u SAP'!$K$3:$K$501,"=636")</f>
        <v>0</v>
      </c>
      <c r="M56" s="189">
        <f>SUMIFS('Plan prihoda za unos u SAP'!$H$3:$H$501,'Plan prihoda za unos u SAP'!$C$3:$C$501,"=559",'Plan prihoda za unos u SAP'!$K$3:$K$501,"=636")</f>
        <v>0</v>
      </c>
      <c r="N56" s="189">
        <f>SUMIFS('Plan prihoda za unos u SAP'!$H$3:$H$501,'Plan prihoda za unos u SAP'!$C$3:$C$501,"=561",'Plan prihoda za unos u SAP'!$K$3:$K$501,"=636")</f>
        <v>0</v>
      </c>
      <c r="O56" s="189">
        <f>SUMIFS('Plan prihoda za unos u SAP'!$H$3:$H$501,'Plan prihoda za unos u SAP'!$C$3:$C$501,"=563",'Plan prihoda za unos u SAP'!$K$3:$K$501,"=636")</f>
        <v>0</v>
      </c>
      <c r="P56" s="189">
        <f>SUMIFS('Plan prihoda za unos u SAP'!$H$3:$H$501,'Plan prihoda za unos u SAP'!$C$3:$C$501,"=573",'Plan prihoda za unos u SAP'!$K$3:$K$501,"=636")</f>
        <v>0</v>
      </c>
      <c r="Q56" s="189">
        <f>SUMIFS('Plan prihoda za unos u SAP'!$H$3:$H$501,'Plan prihoda za unos u SAP'!$C$3:$C$501,"=575",'Plan prihoda za unos u SAP'!$K$3:$K$501,"=636")</f>
        <v>0</v>
      </c>
      <c r="R56" s="189">
        <f>SUMIFS('Plan prihoda za unos u SAP'!$H$3:$H$501,'Plan prihoda za unos u SAP'!$C$3:$C$501,"=576",'Plan prihoda za unos u SAP'!$K$3:$K$501,"=636")</f>
        <v>0</v>
      </c>
      <c r="S56" s="189">
        <f>SUMIFS('Plan prihoda za unos u SAP'!$H$3:$H$501,'Plan prihoda za unos u SAP'!$C$3:$C$501,"=61",'Plan prihoda za unos u SAP'!$K$3:$K$501,"=636")</f>
        <v>0</v>
      </c>
      <c r="T56" s="189">
        <f>SUMIFS('Plan prihoda za unos u SAP'!$H$3:$H$501,'Plan prihoda za unos u SAP'!$C$3:$C$501,"=63",'Plan prihoda za unos u SAP'!$K$3:$K$501,"=636")</f>
        <v>0</v>
      </c>
      <c r="U56" s="189">
        <f>SUMIFS('Plan prihoda za unos u SAP'!$H$3:$H$501,'Plan prihoda za unos u SAP'!$C$3:$C$501,"=71",'Plan prihoda za unos u SAP'!$K$3:$K$501,"=636")</f>
        <v>0</v>
      </c>
      <c r="V56" s="189">
        <f>SUMIFS('Plan prihoda za unos u SAP'!$H$3:$H$501,'Plan prihoda za unos u SAP'!$C$3:$C$501,"=81",'Plan prihoda za unos u SAP'!$K$3:$K$501,"=636")</f>
        <v>0</v>
      </c>
      <c r="W56" s="189">
        <f>SUMIFS('Plan prihoda za unos u SAP'!$H$3:$H$501,'Plan prihoda za unos u SAP'!$C$3:$C$501,"=83",'Plan prihoda za unos u SAP'!$K$3:$K$501,"=636")</f>
        <v>0</v>
      </c>
    </row>
    <row r="57" spans="1:29" s="90" customFormat="1">
      <c r="A57" s="90">
        <v>2022</v>
      </c>
      <c r="B57" s="95" t="s">
        <v>287</v>
      </c>
      <c r="C57" s="96" t="s">
        <v>288</v>
      </c>
      <c r="D57" s="70">
        <f t="shared" si="12"/>
        <v>0</v>
      </c>
      <c r="E57" s="189">
        <f>SUMIFS('Plan prihoda za unos u SAP'!$H$3:$H$501,'Plan prihoda za unos u SAP'!$C$3:$C$501,"=11",'Plan prihoda za unos u SAP'!$K$3:$K$501,"=638")</f>
        <v>0</v>
      </c>
      <c r="F57" s="189">
        <f>SUMIFS('Plan prihoda za unos u SAP'!$H$3:$H$501,'Plan prihoda za unos u SAP'!$C$3:$C$501,"=12",'Plan prihoda za unos u SAP'!$K$3:$K$501,"=638")</f>
        <v>0</v>
      </c>
      <c r="G57" s="189">
        <f>SUMIFS('Plan prihoda za unos u SAP'!$H$3:$H$501,'Plan prihoda za unos u SAP'!$C$3:$C$501,"=31",'Plan prihoda za unos u SAP'!$K$3:$K$501,"=638")</f>
        <v>0</v>
      </c>
      <c r="H57" s="189">
        <f>SUMIFS('Plan prihoda za unos u SAP'!$H$3:$H$501,'Plan prihoda za unos u SAP'!$C$3:$C$501,"=41",'Plan prihoda za unos u SAP'!$K$3:$K$501,"=638")</f>
        <v>0</v>
      </c>
      <c r="I57" s="189">
        <f>SUMIFS('Plan prihoda za unos u SAP'!$H$3:$H$501,'Plan prihoda za unos u SAP'!$C$3:$C$501,"=43",'Plan prihoda za unos u SAP'!$K$3:$K$501,"=638")</f>
        <v>0</v>
      </c>
      <c r="J57" s="189">
        <f>SUMIFS('Plan prihoda za unos u SAP'!$H$3:$H$501,'Plan prihoda za unos u SAP'!$C$3:$C$501,"=51",'Plan prihoda za unos u SAP'!$K$3:$K$501,"=638")</f>
        <v>0</v>
      </c>
      <c r="K57" s="189">
        <f>SUMIFS('Plan prihoda za unos u SAP'!$H$3:$H$501,'Plan prihoda za unos u SAP'!$C$3:$C$501,"=52",'Plan prihoda za unos u SAP'!$K$3:$K$501,"=638")</f>
        <v>0</v>
      </c>
      <c r="L57" s="189">
        <f>SUMIFS('Plan prihoda za unos u SAP'!$H$3:$H$501,'Plan prihoda za unos u SAP'!$C$3:$C$501,"=552",'Plan prihoda za unos u SAP'!$K$3:$K$501,"=638")</f>
        <v>0</v>
      </c>
      <c r="M57" s="189">
        <f>SUMIFS('Plan prihoda za unos u SAP'!$H$3:$H$501,'Plan prihoda za unos u SAP'!$C$3:$C$501,"=559",'Plan prihoda za unos u SAP'!$K$3:$K$501,"=638")</f>
        <v>0</v>
      </c>
      <c r="N57" s="189">
        <f>SUMIFS('Plan prihoda za unos u SAP'!$H$3:$H$501,'Plan prihoda za unos u SAP'!$C$3:$C$501,"=561",'Plan prihoda za unos u SAP'!$K$3:$K$501,"=638")</f>
        <v>0</v>
      </c>
      <c r="O57" s="189">
        <f>SUMIFS('Plan prihoda za unos u SAP'!$H$3:$H$501,'Plan prihoda za unos u SAP'!$C$3:$C$501,"=563",'Plan prihoda za unos u SAP'!$K$3:$K$501,"=638")</f>
        <v>0</v>
      </c>
      <c r="P57" s="189">
        <f>SUMIFS('Plan prihoda za unos u SAP'!$H$3:$H$501,'Plan prihoda za unos u SAP'!$C$3:$C$501,"=573",'Plan prihoda za unos u SAP'!$K$3:$K$501,"=638")</f>
        <v>0</v>
      </c>
      <c r="Q57" s="189">
        <f>SUMIFS('Plan prihoda za unos u SAP'!$H$3:$H$501,'Plan prihoda za unos u SAP'!$C$3:$C$501,"=575",'Plan prihoda za unos u SAP'!$K$3:$K$501,"=638")</f>
        <v>0</v>
      </c>
      <c r="R57" s="189">
        <f>SUMIFS('Plan prihoda za unos u SAP'!$H$3:$H$501,'Plan prihoda za unos u SAP'!$C$3:$C$501,"=576",'Plan prihoda za unos u SAP'!$K$3:$K$501,"=638")</f>
        <v>0</v>
      </c>
      <c r="S57" s="189">
        <f>SUMIFS('Plan prihoda za unos u SAP'!$H$3:$H$501,'Plan prihoda za unos u SAP'!$C$3:$C$501,"=61",'Plan prihoda za unos u SAP'!$K$3:$K$501,"=638")</f>
        <v>0</v>
      </c>
      <c r="T57" s="189">
        <f>SUMIFS('Plan prihoda za unos u SAP'!$H$3:$H$501,'Plan prihoda za unos u SAP'!$C$3:$C$501,"=63",'Plan prihoda za unos u SAP'!$K$3:$K$501,"=638")</f>
        <v>0</v>
      </c>
      <c r="U57" s="189">
        <f>SUMIFS('Plan prihoda za unos u SAP'!$H$3:$H$501,'Plan prihoda za unos u SAP'!$C$3:$C$501,"=71",'Plan prihoda za unos u SAP'!$K$3:$K$501,"=638")</f>
        <v>0</v>
      </c>
      <c r="V57" s="189">
        <f>SUMIFS('Plan prihoda za unos u SAP'!$H$3:$H$501,'Plan prihoda za unos u SAP'!$C$3:$C$501,"=81",'Plan prihoda za unos u SAP'!$K$3:$K$501,"=638")</f>
        <v>0</v>
      </c>
      <c r="W57" s="189">
        <f>SUMIFS('Plan prihoda za unos u SAP'!$H$3:$H$501,'Plan prihoda za unos u SAP'!$C$3:$C$501,"=83",'Plan prihoda za unos u SAP'!$K$3:$K$501,"=638")</f>
        <v>0</v>
      </c>
    </row>
    <row r="58" spans="1:29" s="90" customFormat="1">
      <c r="A58" s="90">
        <v>2022</v>
      </c>
      <c r="B58" s="95" t="s">
        <v>289</v>
      </c>
      <c r="C58" s="96" t="s">
        <v>41</v>
      </c>
      <c r="D58" s="70">
        <f t="shared" si="12"/>
        <v>0</v>
      </c>
      <c r="E58" s="189">
        <f>SUMIFS('Plan prihoda za unos u SAP'!$H$3:$H$501,'Plan prihoda za unos u SAP'!$C$3:$C$501,"=11",'Plan prihoda za unos u SAP'!$K$3:$K$501,"=639")</f>
        <v>0</v>
      </c>
      <c r="F58" s="189">
        <f>SUMIFS('Plan prihoda za unos u SAP'!$H$3:$H$501,'Plan prihoda za unos u SAP'!$C$3:$C$501,"=12",'Plan prihoda za unos u SAP'!$K$3:$K$501,"=639")</f>
        <v>0</v>
      </c>
      <c r="G58" s="189">
        <f>SUMIFS('Plan prihoda za unos u SAP'!$H$3:$H$501,'Plan prihoda za unos u SAP'!$C$3:$C$501,"=31",'Plan prihoda za unos u SAP'!$K$3:$K$501,"=639")</f>
        <v>0</v>
      </c>
      <c r="H58" s="189">
        <f>SUMIFS('Plan prihoda za unos u SAP'!$H$3:$H$501,'Plan prihoda za unos u SAP'!$C$3:$C$501,"=41",'Plan prihoda za unos u SAP'!$K$3:$K$501,"=639")</f>
        <v>0</v>
      </c>
      <c r="I58" s="189">
        <f>SUMIFS('Plan prihoda za unos u SAP'!$H$3:$H$501,'Plan prihoda za unos u SAP'!$C$3:$C$501,"=43",'Plan prihoda za unos u SAP'!$K$3:$K$501,"=639")</f>
        <v>0</v>
      </c>
      <c r="J58" s="189">
        <f>SUMIFS('Plan prihoda za unos u SAP'!$H$3:$H$501,'Plan prihoda za unos u SAP'!$C$3:$C$501,"=51",'Plan prihoda za unos u SAP'!$K$3:$K$501,"=639")</f>
        <v>0</v>
      </c>
      <c r="K58" s="189">
        <f>SUMIFS('Plan prihoda za unos u SAP'!$H$3:$H$501,'Plan prihoda za unos u SAP'!$C$3:$C$501,"=52",'Plan prihoda za unos u SAP'!$K$3:$K$501,"=639")</f>
        <v>0</v>
      </c>
      <c r="L58" s="189">
        <f>SUMIFS('Plan prihoda za unos u SAP'!$H$3:$H$501,'Plan prihoda za unos u SAP'!$C$3:$C$501,"=552",'Plan prihoda za unos u SAP'!$K$3:$K$501,"=639")</f>
        <v>0</v>
      </c>
      <c r="M58" s="189">
        <f>SUMIFS('Plan prihoda za unos u SAP'!$H$3:$H$501,'Plan prihoda za unos u SAP'!$C$3:$C$501,"=559",'Plan prihoda za unos u SAP'!$K$3:$K$501,"=639")</f>
        <v>0</v>
      </c>
      <c r="N58" s="189">
        <f>SUMIFS('Plan prihoda za unos u SAP'!$H$3:$H$501,'Plan prihoda za unos u SAP'!$C$3:$C$501,"=561",'Plan prihoda za unos u SAP'!$K$3:$K$501,"=639")</f>
        <v>0</v>
      </c>
      <c r="O58" s="189">
        <f>SUMIFS('Plan prihoda za unos u SAP'!$H$3:$H$501,'Plan prihoda za unos u SAP'!$C$3:$C$501,"=563",'Plan prihoda za unos u SAP'!$K$3:$K$501,"=639")</f>
        <v>0</v>
      </c>
      <c r="P58" s="189">
        <f>SUMIFS('Plan prihoda za unos u SAP'!$H$3:$H$501,'Plan prihoda za unos u SAP'!$C$3:$C$501,"=573",'Plan prihoda za unos u SAP'!$K$3:$K$501,"=639")</f>
        <v>0</v>
      </c>
      <c r="Q58" s="189">
        <f>SUMIFS('Plan prihoda za unos u SAP'!$H$3:$H$501,'Plan prihoda za unos u SAP'!$C$3:$C$501,"=575",'Plan prihoda za unos u SAP'!$K$3:$K$501,"=639")</f>
        <v>0</v>
      </c>
      <c r="R58" s="189">
        <f>SUMIFS('Plan prihoda za unos u SAP'!$H$3:$H$501,'Plan prihoda za unos u SAP'!$C$3:$C$501,"=576",'Plan prihoda za unos u SAP'!$K$3:$K$501,"=639")</f>
        <v>0</v>
      </c>
      <c r="S58" s="189">
        <f>SUMIFS('Plan prihoda za unos u SAP'!$H$3:$H$501,'Plan prihoda za unos u SAP'!$C$3:$C$501,"=61",'Plan prihoda za unos u SAP'!$K$3:$K$501,"=639")</f>
        <v>0</v>
      </c>
      <c r="T58" s="189">
        <f>SUMIFS('Plan prihoda za unos u SAP'!$H$3:$H$501,'Plan prihoda za unos u SAP'!$C$3:$C$501,"=63",'Plan prihoda za unos u SAP'!$K$3:$K$501,"=639")</f>
        <v>0</v>
      </c>
      <c r="U58" s="189">
        <f>SUMIFS('Plan prihoda za unos u SAP'!$H$3:$H$501,'Plan prihoda za unos u SAP'!$C$3:$C$501,"=71",'Plan prihoda za unos u SAP'!$K$3:$K$501,"=639")</f>
        <v>0</v>
      </c>
      <c r="V58" s="189">
        <f>SUMIFS('Plan prihoda za unos u SAP'!$H$3:$H$501,'Plan prihoda za unos u SAP'!$C$3:$C$501,"=81",'Plan prihoda za unos u SAP'!$K$3:$K$501,"=639")</f>
        <v>0</v>
      </c>
      <c r="W58" s="189">
        <f>SUMIFS('Plan prihoda za unos u SAP'!$H$3:$H$501,'Plan prihoda za unos u SAP'!$C$3:$C$501,"=83",'Plan prihoda za unos u SAP'!$K$3:$K$501,"=639")</f>
        <v>0</v>
      </c>
    </row>
    <row r="59" spans="1:29" s="90" customFormat="1">
      <c r="A59" s="90">
        <v>2022</v>
      </c>
      <c r="B59" s="95" t="s">
        <v>290</v>
      </c>
      <c r="C59" s="96" t="s">
        <v>291</v>
      </c>
      <c r="D59" s="70">
        <f t="shared" si="12"/>
        <v>100</v>
      </c>
      <c r="E59" s="189">
        <f>SUMIFS('Plan prihoda za unos u SAP'!$H$3:$H$501,'Plan prihoda za unos u SAP'!$C$3:$C$501,"=11",'Plan prihoda za unos u SAP'!$K$3:$K$501,"=641")</f>
        <v>0</v>
      </c>
      <c r="F59" s="189">
        <f>SUMIFS('Plan prihoda za unos u SAP'!$H$3:$H$501,'Plan prihoda za unos u SAP'!$C$3:$C$501,"=12",'Plan prihoda za unos u SAP'!$K$3:$K$501,"=641")</f>
        <v>0</v>
      </c>
      <c r="G59" s="189">
        <f>SUMIFS('Plan prihoda za unos u SAP'!$H$3:$H$501,'Plan prihoda za unos u SAP'!$C$3:$C$501,"=31",'Plan prihoda za unos u SAP'!$K$3:$K$501,"=641")</f>
        <v>100</v>
      </c>
      <c r="H59" s="189">
        <f>SUMIFS('Plan prihoda za unos u SAP'!$H$3:$H$501,'Plan prihoda za unos u SAP'!$C$3:$C$501,"=41",'Plan prihoda za unos u SAP'!$K$3:$K$501,"=641")</f>
        <v>0</v>
      </c>
      <c r="I59" s="189">
        <f>SUMIFS('Plan prihoda za unos u SAP'!$H$3:$H$501,'Plan prihoda za unos u SAP'!$C$3:$C$501,"=43",'Plan prihoda za unos u SAP'!$K$3:$K$501,"=641")</f>
        <v>0</v>
      </c>
      <c r="J59" s="189">
        <f>SUMIFS('Plan prihoda za unos u SAP'!$H$3:$H$501,'Plan prihoda za unos u SAP'!$C$3:$C$501,"=51",'Plan prihoda za unos u SAP'!$K$3:$K$501,"=641")</f>
        <v>0</v>
      </c>
      <c r="K59" s="189">
        <f>SUMIFS('Plan prihoda za unos u SAP'!$H$3:$H$501,'Plan prihoda za unos u SAP'!$C$3:$C$501,"=52",'Plan prihoda za unos u SAP'!$K$3:$K$501,"=641")</f>
        <v>0</v>
      </c>
      <c r="L59" s="189">
        <f>SUMIFS('Plan prihoda za unos u SAP'!$H$3:$H$501,'Plan prihoda za unos u SAP'!$C$3:$C$501,"=552",'Plan prihoda za unos u SAP'!$K$3:$K$501,"=641")</f>
        <v>0</v>
      </c>
      <c r="M59" s="189">
        <f>SUMIFS('Plan prihoda za unos u SAP'!$H$3:$H$501,'Plan prihoda za unos u SAP'!$C$3:$C$501,"=559",'Plan prihoda za unos u SAP'!$K$3:$K$501,"=641")</f>
        <v>0</v>
      </c>
      <c r="N59" s="189">
        <f>SUMIFS('Plan prihoda za unos u SAP'!$H$3:$H$501,'Plan prihoda za unos u SAP'!$C$3:$C$501,"=561",'Plan prihoda za unos u SAP'!$K$3:$K$501,"=641")</f>
        <v>0</v>
      </c>
      <c r="O59" s="189">
        <f>SUMIFS('Plan prihoda za unos u SAP'!$H$3:$H$501,'Plan prihoda za unos u SAP'!$C$3:$C$501,"=563",'Plan prihoda za unos u SAP'!$K$3:$K$501,"=641")</f>
        <v>0</v>
      </c>
      <c r="P59" s="189">
        <f>SUMIFS('Plan prihoda za unos u SAP'!$H$3:$H$501,'Plan prihoda za unos u SAP'!$C$3:$C$501,"=573",'Plan prihoda za unos u SAP'!$K$3:$K$501,"=641")</f>
        <v>0</v>
      </c>
      <c r="Q59" s="189">
        <f>SUMIFS('Plan prihoda za unos u SAP'!$H$3:$H$501,'Plan prihoda za unos u SAP'!$C$3:$C$501,"=575",'Plan prihoda za unos u SAP'!$K$3:$K$501,"=641")</f>
        <v>0</v>
      </c>
      <c r="R59" s="189">
        <f>SUMIFS('Plan prihoda za unos u SAP'!$H$3:$H$501,'Plan prihoda za unos u SAP'!$C$3:$C$501,"=576",'Plan prihoda za unos u SAP'!$K$3:$K$501,"=641")</f>
        <v>0</v>
      </c>
      <c r="S59" s="189">
        <f>SUMIFS('Plan prihoda za unos u SAP'!$H$3:$H$501,'Plan prihoda za unos u SAP'!$C$3:$C$501,"=61",'Plan prihoda za unos u SAP'!$K$3:$K$501,"=641")</f>
        <v>0</v>
      </c>
      <c r="T59" s="189">
        <f>SUMIFS('Plan prihoda za unos u SAP'!$H$3:$H$501,'Plan prihoda za unos u SAP'!$C$3:$C$501,"=63",'Plan prihoda za unos u SAP'!$K$3:$K$501,"=641")</f>
        <v>0</v>
      </c>
      <c r="U59" s="189">
        <f>SUMIFS('Plan prihoda za unos u SAP'!$H$3:$H$501,'Plan prihoda za unos u SAP'!$C$3:$C$501,"=71",'Plan prihoda za unos u SAP'!$K$3:$K$501,"=641")</f>
        <v>0</v>
      </c>
      <c r="V59" s="189">
        <f>SUMIFS('Plan prihoda za unos u SAP'!$H$3:$H$501,'Plan prihoda za unos u SAP'!$C$3:$C$501,"=81",'Plan prihoda za unos u SAP'!$K$3:$K$501,"=641")</f>
        <v>0</v>
      </c>
      <c r="W59" s="189">
        <f>SUMIFS('Plan prihoda za unos u SAP'!$H$3:$H$501,'Plan prihoda za unos u SAP'!$C$3:$C$501,"=83",'Plan prihoda za unos u SAP'!$K$3:$K$501,"=641")</f>
        <v>0</v>
      </c>
    </row>
    <row r="60" spans="1:29" s="90" customFormat="1">
      <c r="A60" s="90">
        <v>2022</v>
      </c>
      <c r="B60" s="95" t="s">
        <v>292</v>
      </c>
      <c r="C60" s="96" t="s">
        <v>293</v>
      </c>
      <c r="D60" s="70">
        <f t="shared" si="12"/>
        <v>0</v>
      </c>
      <c r="E60" s="189">
        <f>SUMIFS('Plan prihoda za unos u SAP'!$H$3:$H$501,'Plan prihoda za unos u SAP'!$C$3:$C$501,"=11",'Plan prihoda za unos u SAP'!$K$3:$K$501,"=642")</f>
        <v>0</v>
      </c>
      <c r="F60" s="189">
        <f>SUMIFS('Plan prihoda za unos u SAP'!$H$3:$H$501,'Plan prihoda za unos u SAP'!$C$3:$C$501,"=12",'Plan prihoda za unos u SAP'!$K$3:$K$501,"=642")</f>
        <v>0</v>
      </c>
      <c r="G60" s="189">
        <f>SUMIFS('Plan prihoda za unos u SAP'!$H$3:$H$501,'Plan prihoda za unos u SAP'!$C$3:$C$501,"=31",'Plan prihoda za unos u SAP'!$K$3:$K$501,"=642")</f>
        <v>0</v>
      </c>
      <c r="H60" s="189">
        <f>SUMIFS('Plan prihoda za unos u SAP'!$H$3:$H$501,'Plan prihoda za unos u SAP'!$C$3:$C$501,"=41",'Plan prihoda za unos u SAP'!$K$3:$K$501,"=642")</f>
        <v>0</v>
      </c>
      <c r="I60" s="189">
        <f>SUMIFS('Plan prihoda za unos u SAP'!$H$3:$H$501,'Plan prihoda za unos u SAP'!$C$3:$C$501,"=43",'Plan prihoda za unos u SAP'!$K$3:$K$501,"=642")</f>
        <v>0</v>
      </c>
      <c r="J60" s="189">
        <f>SUMIFS('Plan prihoda za unos u SAP'!$H$3:$H$501,'Plan prihoda za unos u SAP'!$C$3:$C$501,"=51",'Plan prihoda za unos u SAP'!$K$3:$K$501,"=642")</f>
        <v>0</v>
      </c>
      <c r="K60" s="189">
        <f>SUMIFS('Plan prihoda za unos u SAP'!$H$3:$H$501,'Plan prihoda za unos u SAP'!$C$3:$C$501,"=52",'Plan prihoda za unos u SAP'!$K$3:$K$501,"=642")</f>
        <v>0</v>
      </c>
      <c r="L60" s="189">
        <f>SUMIFS('Plan prihoda za unos u SAP'!$H$3:$H$501,'Plan prihoda za unos u SAP'!$C$3:$C$501,"=552",'Plan prihoda za unos u SAP'!$K$3:$K$501,"=642")</f>
        <v>0</v>
      </c>
      <c r="M60" s="189">
        <f>SUMIFS('Plan prihoda za unos u SAP'!$H$3:$H$501,'Plan prihoda za unos u SAP'!$C$3:$C$501,"=559",'Plan prihoda za unos u SAP'!$K$3:$K$501,"=642")</f>
        <v>0</v>
      </c>
      <c r="N60" s="189">
        <f>SUMIFS('Plan prihoda za unos u SAP'!$H$3:$H$501,'Plan prihoda za unos u SAP'!$C$3:$C$501,"=561",'Plan prihoda za unos u SAP'!$K$3:$K$501,"=642")</f>
        <v>0</v>
      </c>
      <c r="O60" s="189">
        <f>SUMIFS('Plan prihoda za unos u SAP'!$H$3:$H$501,'Plan prihoda za unos u SAP'!$C$3:$C$501,"=563",'Plan prihoda za unos u SAP'!$K$3:$K$501,"=642")</f>
        <v>0</v>
      </c>
      <c r="P60" s="189">
        <f>SUMIFS('Plan prihoda za unos u SAP'!$H$3:$H$501,'Plan prihoda za unos u SAP'!$C$3:$C$501,"=573",'Plan prihoda za unos u SAP'!$K$3:$K$501,"=642")</f>
        <v>0</v>
      </c>
      <c r="Q60" s="189">
        <f>SUMIFS('Plan prihoda za unos u SAP'!$H$3:$H$501,'Plan prihoda za unos u SAP'!$C$3:$C$501,"=575",'Plan prihoda za unos u SAP'!$K$3:$K$501,"=642")</f>
        <v>0</v>
      </c>
      <c r="R60" s="189">
        <f>SUMIFS('Plan prihoda za unos u SAP'!$H$3:$H$501,'Plan prihoda za unos u SAP'!$C$3:$C$501,"=576",'Plan prihoda za unos u SAP'!$K$3:$K$501,"=642")</f>
        <v>0</v>
      </c>
      <c r="S60" s="189">
        <f>SUMIFS('Plan prihoda za unos u SAP'!$H$3:$H$501,'Plan prihoda za unos u SAP'!$C$3:$C$501,"=61",'Plan prihoda za unos u SAP'!$K$3:$K$501,"=642")</f>
        <v>0</v>
      </c>
      <c r="T60" s="189">
        <f>SUMIFS('Plan prihoda za unos u SAP'!$H$3:$H$501,'Plan prihoda za unos u SAP'!$C$3:$C$501,"=63",'Plan prihoda za unos u SAP'!$K$3:$K$501,"=642")</f>
        <v>0</v>
      </c>
      <c r="U60" s="189">
        <f>SUMIFS('Plan prihoda za unos u SAP'!$H$3:$H$501,'Plan prihoda za unos u SAP'!$C$3:$C$501,"=71",'Plan prihoda za unos u SAP'!$K$3:$K$501,"=642")</f>
        <v>0</v>
      </c>
      <c r="V60" s="189">
        <f>SUMIFS('Plan prihoda za unos u SAP'!$H$3:$H$501,'Plan prihoda za unos u SAP'!$C$3:$C$501,"=81",'Plan prihoda za unos u SAP'!$K$3:$K$501,"=642")</f>
        <v>0</v>
      </c>
      <c r="W60" s="189">
        <f>SUMIFS('Plan prihoda za unos u SAP'!$H$3:$H$501,'Plan prihoda za unos u SAP'!$C$3:$C$501,"=83",'Plan prihoda za unos u SAP'!$K$3:$K$501,"=642")</f>
        <v>0</v>
      </c>
    </row>
    <row r="61" spans="1:29" s="90" customFormat="1">
      <c r="A61" s="90">
        <v>2022</v>
      </c>
      <c r="B61" s="215" t="s">
        <v>765</v>
      </c>
      <c r="C61" s="96" t="s">
        <v>764</v>
      </c>
      <c r="D61" s="70">
        <f t="shared" si="12"/>
        <v>0</v>
      </c>
      <c r="E61" s="189">
        <f>SUMIFS('Plan prihoda za unos u SAP'!$H$3:$H$501,'Plan prihoda za unos u SAP'!$C$3:$C$501,"=11",'Plan prihoda za unos u SAP'!$K$3:$K$501,"=651")</f>
        <v>0</v>
      </c>
      <c r="F61" s="189">
        <f>SUMIFS('Plan prihoda za unos u SAP'!$H$3:$H$501,'Plan prihoda za unos u SAP'!$C$3:$C$501,"=12",'Plan prihoda za unos u SAP'!$K$3:$K$501,"=651")</f>
        <v>0</v>
      </c>
      <c r="G61" s="189">
        <f>SUMIFS('Plan prihoda za unos u SAP'!$H$3:$H$501,'Plan prihoda za unos u SAP'!$C$3:$C$501,"=31",'Plan prihoda za unos u SAP'!$K$3:$K$501,"=651")</f>
        <v>0</v>
      </c>
      <c r="H61" s="189">
        <f>SUMIFS('Plan prihoda za unos u SAP'!$H$3:$H$501,'Plan prihoda za unos u SAP'!$C$3:$C$501,"=41",'Plan prihoda za unos u SAP'!$K$3:$K$501,"=651")</f>
        <v>0</v>
      </c>
      <c r="I61" s="189">
        <f>SUMIFS('Plan prihoda za unos u SAP'!$H$3:$H$501,'Plan prihoda za unos u SAP'!$C$3:$C$501,"=43",'Plan prihoda za unos u SAP'!$K$3:$K$501,"=651")</f>
        <v>0</v>
      </c>
      <c r="J61" s="189">
        <f>SUMIFS('Plan prihoda za unos u SAP'!$H$3:$H$501,'Plan prihoda za unos u SAP'!$C$3:$C$501,"=51",'Plan prihoda za unos u SAP'!$K$3:$K$501,"=651")</f>
        <v>0</v>
      </c>
      <c r="K61" s="189">
        <f>SUMIFS('Plan prihoda za unos u SAP'!$H$3:$H$501,'Plan prihoda za unos u SAP'!$C$3:$C$501,"=52",'Plan prihoda za unos u SAP'!$K$3:$K$501,"=651")</f>
        <v>0</v>
      </c>
      <c r="L61" s="189">
        <f>SUMIFS('Plan prihoda za unos u SAP'!$H$3:$H$501,'Plan prihoda za unos u SAP'!$C$3:$C$501,"=552",'Plan prihoda za unos u SAP'!$K$3:$K$501,"=651")</f>
        <v>0</v>
      </c>
      <c r="M61" s="189">
        <f>SUMIFS('Plan prihoda za unos u SAP'!$H$3:$H$501,'Plan prihoda za unos u SAP'!$C$3:$C$501,"=559",'Plan prihoda za unos u SAP'!$K$3:$K$501,"=651")</f>
        <v>0</v>
      </c>
      <c r="N61" s="189">
        <f>SUMIFS('Plan prihoda za unos u SAP'!$H$3:$H$501,'Plan prihoda za unos u SAP'!$C$3:$C$501,"=561",'Plan prihoda za unos u SAP'!$K$3:$K$501,"=651")</f>
        <v>0</v>
      </c>
      <c r="O61" s="189">
        <f>SUMIFS('Plan prihoda za unos u SAP'!$H$3:$H$501,'Plan prihoda za unos u SAP'!$C$3:$C$501,"=563",'Plan prihoda za unos u SAP'!$K$3:$K$501,"=651")</f>
        <v>0</v>
      </c>
      <c r="P61" s="189">
        <f>SUMIFS('Plan prihoda za unos u SAP'!$H$3:$H$501,'Plan prihoda za unos u SAP'!$C$3:$C$501,"=573",'Plan prihoda za unos u SAP'!$K$3:$K$501,"=651")</f>
        <v>0</v>
      </c>
      <c r="Q61" s="189">
        <f>SUMIFS('Plan prihoda za unos u SAP'!$H$3:$H$501,'Plan prihoda za unos u SAP'!$C$3:$C$501,"=575",'Plan prihoda za unos u SAP'!$K$3:$K$501,"=651")</f>
        <v>0</v>
      </c>
      <c r="R61" s="189">
        <f>SUMIFS('Plan prihoda za unos u SAP'!$H$3:$H$501,'Plan prihoda za unos u SAP'!$C$3:$C$501,"=576",'Plan prihoda za unos u SAP'!$K$3:$K$501,"=651")</f>
        <v>0</v>
      </c>
      <c r="S61" s="189">
        <f>SUMIFS('Plan prihoda za unos u SAP'!$H$3:$H$501,'Plan prihoda za unos u SAP'!$C$3:$C$501,"=61",'Plan prihoda za unos u SAP'!$K$3:$K$501,"=651")</f>
        <v>0</v>
      </c>
      <c r="T61" s="189">
        <f>SUMIFS('Plan prihoda za unos u SAP'!$H$3:$H$501,'Plan prihoda za unos u SAP'!$C$3:$C$501,"=63",'Plan prihoda za unos u SAP'!$K$3:$K$501,"=651")</f>
        <v>0</v>
      </c>
      <c r="U61" s="189">
        <f>SUMIFS('Plan prihoda za unos u SAP'!$H$3:$H$501,'Plan prihoda za unos u SAP'!$C$3:$C$501,"=71",'Plan prihoda za unos u SAP'!$K$3:$K$501,"=651")</f>
        <v>0</v>
      </c>
      <c r="V61" s="189">
        <f>SUMIFS('Plan prihoda za unos u SAP'!$H$3:$H$501,'Plan prihoda za unos u SAP'!$C$3:$C$501,"=81",'Plan prihoda za unos u SAP'!$K$3:$K$501,"=651")</f>
        <v>0</v>
      </c>
      <c r="W61" s="189">
        <f>SUMIFS('Plan prihoda za unos u SAP'!$H$3:$H$501,'Plan prihoda za unos u SAP'!$C$3:$C$501,"=83",'Plan prihoda za unos u SAP'!$K$3:$K$501,"=651")</f>
        <v>0</v>
      </c>
    </row>
    <row r="62" spans="1:29" s="90" customFormat="1">
      <c r="A62" s="90">
        <v>2022</v>
      </c>
      <c r="B62" s="95" t="s">
        <v>294</v>
      </c>
      <c r="C62" s="96" t="s">
        <v>295</v>
      </c>
      <c r="D62" s="70">
        <f t="shared" si="12"/>
        <v>485250</v>
      </c>
      <c r="E62" s="189">
        <f>SUMIFS('Plan prihoda za unos u SAP'!$H$3:$H$501,'Plan prihoda za unos u SAP'!$C$3:$C$501,"=11",'Plan prihoda za unos u SAP'!$K$3:$K$501,"=652")</f>
        <v>0</v>
      </c>
      <c r="F62" s="189">
        <f>SUMIFS('Plan prihoda za unos u SAP'!$H$3:$H$501,'Plan prihoda za unos u SAP'!$C$3:$C$501,"=12",'Plan prihoda za unos u SAP'!$K$3:$K$501,"=652")</f>
        <v>0</v>
      </c>
      <c r="G62" s="189">
        <f>SUMIFS('Plan prihoda za unos u SAP'!$H$3:$H$501,'Plan prihoda za unos u SAP'!$C$3:$C$501,"=31",'Plan prihoda za unos u SAP'!$K$3:$K$501,"=652")</f>
        <v>0</v>
      </c>
      <c r="H62" s="189">
        <f>SUMIFS('Plan prihoda za unos u SAP'!$H$3:$H$501,'Plan prihoda za unos u SAP'!$C$3:$C$501,"=41",'Plan prihoda za unos u SAP'!$K$3:$K$501,"=652")</f>
        <v>0</v>
      </c>
      <c r="I62" s="189">
        <f>SUMIFS('Plan prihoda za unos u SAP'!$H$3:$H$501,'Plan prihoda za unos u SAP'!$C$3:$C$501,"=43",'Plan prihoda za unos u SAP'!$K$3:$K$501,"=652")</f>
        <v>485250</v>
      </c>
      <c r="J62" s="189">
        <f>SUMIFS('Plan prihoda za unos u SAP'!$H$3:$H$501,'Plan prihoda za unos u SAP'!$C$3:$C$501,"=51",'Plan prihoda za unos u SAP'!$K$3:$K$501,"=652")</f>
        <v>0</v>
      </c>
      <c r="K62" s="189">
        <f>SUMIFS('Plan prihoda za unos u SAP'!$H$3:$H$501,'Plan prihoda za unos u SAP'!$C$3:$C$501,"=52",'Plan prihoda za unos u SAP'!$K$3:$K$501,"=652")</f>
        <v>0</v>
      </c>
      <c r="L62" s="189">
        <f>SUMIFS('Plan prihoda za unos u SAP'!$H$3:$H$501,'Plan prihoda za unos u SAP'!$C$3:$C$501,"=552",'Plan prihoda za unos u SAP'!$K$3:$K$501,"=652")</f>
        <v>0</v>
      </c>
      <c r="M62" s="189">
        <f>SUMIFS('Plan prihoda za unos u SAP'!$H$3:$H$501,'Plan prihoda za unos u SAP'!$C$3:$C$501,"=559",'Plan prihoda za unos u SAP'!$K$3:$K$501,"=652")</f>
        <v>0</v>
      </c>
      <c r="N62" s="189">
        <f>SUMIFS('Plan prihoda za unos u SAP'!$H$3:$H$501,'Plan prihoda za unos u SAP'!$C$3:$C$501,"=561",'Plan prihoda za unos u SAP'!$K$3:$K$501,"=652")</f>
        <v>0</v>
      </c>
      <c r="O62" s="189">
        <f>SUMIFS('Plan prihoda za unos u SAP'!$H$3:$H$501,'Plan prihoda za unos u SAP'!$C$3:$C$501,"=563",'Plan prihoda za unos u SAP'!$K$3:$K$501,"=652")</f>
        <v>0</v>
      </c>
      <c r="P62" s="189">
        <f>SUMIFS('Plan prihoda za unos u SAP'!$H$3:$H$501,'Plan prihoda za unos u SAP'!$C$3:$C$501,"=573",'Plan prihoda za unos u SAP'!$K$3:$K$501,"=652")</f>
        <v>0</v>
      </c>
      <c r="Q62" s="189">
        <f>SUMIFS('Plan prihoda za unos u SAP'!$H$3:$H$501,'Plan prihoda za unos u SAP'!$C$3:$C$501,"=575",'Plan prihoda za unos u SAP'!$K$3:$K$501,"=652")</f>
        <v>0</v>
      </c>
      <c r="R62" s="189">
        <f>SUMIFS('Plan prihoda za unos u SAP'!$H$3:$H$501,'Plan prihoda za unos u SAP'!$C$3:$C$501,"=576",'Plan prihoda za unos u SAP'!$K$3:$K$501,"=652")</f>
        <v>0</v>
      </c>
      <c r="S62" s="189">
        <f>SUMIFS('Plan prihoda za unos u SAP'!$H$3:$H$501,'Plan prihoda za unos u SAP'!$C$3:$C$501,"=61",'Plan prihoda za unos u SAP'!$K$3:$K$501,"=652")</f>
        <v>0</v>
      </c>
      <c r="T62" s="189">
        <f>SUMIFS('Plan prihoda za unos u SAP'!$H$3:$H$501,'Plan prihoda za unos u SAP'!$C$3:$C$501,"=63",'Plan prihoda za unos u SAP'!$K$3:$K$501,"=652")</f>
        <v>0</v>
      </c>
      <c r="U62" s="189">
        <f>SUMIFS('Plan prihoda za unos u SAP'!$H$3:$H$501,'Plan prihoda za unos u SAP'!$C$3:$C$501,"=71",'Plan prihoda za unos u SAP'!$K$3:$K$501,"=652")</f>
        <v>0</v>
      </c>
      <c r="V62" s="189">
        <f>SUMIFS('Plan prihoda za unos u SAP'!$H$3:$H$501,'Plan prihoda za unos u SAP'!$C$3:$C$501,"=81",'Plan prihoda za unos u SAP'!$K$3:$K$501,"=652")</f>
        <v>0</v>
      </c>
      <c r="W62" s="189">
        <f>SUMIFS('Plan prihoda za unos u SAP'!$H$3:$H$501,'Plan prihoda za unos u SAP'!$C$3:$C$501,"=83",'Plan prihoda za unos u SAP'!$K$3:$K$501,"=652")</f>
        <v>0</v>
      </c>
    </row>
    <row r="63" spans="1:29" s="90" customFormat="1">
      <c r="A63" s="90">
        <v>2022</v>
      </c>
      <c r="B63" s="95" t="s">
        <v>296</v>
      </c>
      <c r="C63" s="96" t="s">
        <v>297</v>
      </c>
      <c r="D63" s="70">
        <f t="shared" si="12"/>
        <v>71000</v>
      </c>
      <c r="E63" s="189">
        <f>SUMIFS('Plan prihoda za unos u SAP'!$H$3:$H$501,'Plan prihoda za unos u SAP'!$C$3:$C$501,"=11",'Plan prihoda za unos u SAP'!$K$3:$K$501,"=661")</f>
        <v>0</v>
      </c>
      <c r="F63" s="189">
        <f>SUMIFS('Plan prihoda za unos u SAP'!$H$3:$H$501,'Plan prihoda za unos u SAP'!$C$3:$C$501,"=12",'Plan prihoda za unos u SAP'!$K$3:$K$501,"=661")</f>
        <v>0</v>
      </c>
      <c r="G63" s="189">
        <f>SUMIFS('Plan prihoda za unos u SAP'!$H$3:$H$501,'Plan prihoda za unos u SAP'!$C$3:$C$501,"=31",'Plan prihoda za unos u SAP'!$K$3:$K$501,"=661")</f>
        <v>71000</v>
      </c>
      <c r="H63" s="189">
        <f>SUMIFS('Plan prihoda za unos u SAP'!$H$3:$H$501,'Plan prihoda za unos u SAP'!$C$3:$C$501,"=41",'Plan prihoda za unos u SAP'!$K$3:$K$501,"=661")</f>
        <v>0</v>
      </c>
      <c r="I63" s="189">
        <f>SUMIFS('Plan prihoda za unos u SAP'!$H$3:$H$501,'Plan prihoda za unos u SAP'!$C$3:$C$501,"=43",'Plan prihoda za unos u SAP'!$K$3:$K$501,"=661")</f>
        <v>0</v>
      </c>
      <c r="J63" s="189">
        <f>SUMIFS('Plan prihoda za unos u SAP'!$H$3:$H$501,'Plan prihoda za unos u SAP'!$C$3:$C$501,"=51",'Plan prihoda za unos u SAP'!$K$3:$K$501,"=661")</f>
        <v>0</v>
      </c>
      <c r="K63" s="189">
        <f>SUMIFS('Plan prihoda za unos u SAP'!$H$3:$H$501,'Plan prihoda za unos u SAP'!$C$3:$C$501,"=52",'Plan prihoda za unos u SAP'!$K$3:$K$501,"=661")</f>
        <v>0</v>
      </c>
      <c r="L63" s="189">
        <f>SUMIFS('Plan prihoda za unos u SAP'!$H$3:$H$501,'Plan prihoda za unos u SAP'!$C$3:$C$501,"=552",'Plan prihoda za unos u SAP'!$K$3:$K$501,"=661")</f>
        <v>0</v>
      </c>
      <c r="M63" s="189">
        <f>SUMIFS('Plan prihoda za unos u SAP'!$H$3:$H$501,'Plan prihoda za unos u SAP'!$C$3:$C$501,"=559",'Plan prihoda za unos u SAP'!$K$3:$K$501,"=661")</f>
        <v>0</v>
      </c>
      <c r="N63" s="189">
        <f>SUMIFS('Plan prihoda za unos u SAP'!$H$3:$H$501,'Plan prihoda za unos u SAP'!$C$3:$C$501,"=561",'Plan prihoda za unos u SAP'!$K$3:$K$501,"=661")</f>
        <v>0</v>
      </c>
      <c r="O63" s="189">
        <f>SUMIFS('Plan prihoda za unos u SAP'!$H$3:$H$501,'Plan prihoda za unos u SAP'!$C$3:$C$501,"=563",'Plan prihoda za unos u SAP'!$K$3:$K$501,"=661")</f>
        <v>0</v>
      </c>
      <c r="P63" s="189">
        <f>SUMIFS('Plan prihoda za unos u SAP'!$H$3:$H$501,'Plan prihoda za unos u SAP'!$C$3:$C$501,"=573",'Plan prihoda za unos u SAP'!$K$3:$K$501,"=661")</f>
        <v>0</v>
      </c>
      <c r="Q63" s="189">
        <f>SUMIFS('Plan prihoda za unos u SAP'!$H$3:$H$501,'Plan prihoda za unos u SAP'!$C$3:$C$501,"=575",'Plan prihoda za unos u SAP'!$K$3:$K$501,"=661")</f>
        <v>0</v>
      </c>
      <c r="R63" s="189">
        <f>SUMIFS('Plan prihoda za unos u SAP'!$H$3:$H$501,'Plan prihoda za unos u SAP'!$C$3:$C$501,"=576",'Plan prihoda za unos u SAP'!$K$3:$K$501,"=661")</f>
        <v>0</v>
      </c>
      <c r="S63" s="189">
        <f>SUMIFS('Plan prihoda za unos u SAP'!$H$3:$H$501,'Plan prihoda za unos u SAP'!$C$3:$C$501,"=61",'Plan prihoda za unos u SAP'!$K$3:$K$501,"=661")</f>
        <v>0</v>
      </c>
      <c r="T63" s="189">
        <f>SUMIFS('Plan prihoda za unos u SAP'!$H$3:$H$501,'Plan prihoda za unos u SAP'!$C$3:$C$501,"=63",'Plan prihoda za unos u SAP'!$K$3:$K$501,"=661")</f>
        <v>0</v>
      </c>
      <c r="U63" s="189">
        <f>SUMIFS('Plan prihoda za unos u SAP'!$H$3:$H$501,'Plan prihoda za unos u SAP'!$C$3:$C$501,"=71",'Plan prihoda za unos u SAP'!$K$3:$K$501,"=661")</f>
        <v>0</v>
      </c>
      <c r="V63" s="189">
        <f>SUMIFS('Plan prihoda za unos u SAP'!$H$3:$H$501,'Plan prihoda za unos u SAP'!$C$3:$C$501,"=81",'Plan prihoda za unos u SAP'!$K$3:$K$501,"=661")</f>
        <v>0</v>
      </c>
      <c r="W63" s="189">
        <f>SUMIFS('Plan prihoda za unos u SAP'!$H$3:$H$501,'Plan prihoda za unos u SAP'!$C$3:$C$501,"=83",'Plan prihoda za unos u SAP'!$K$3:$K$501,"=661")</f>
        <v>0</v>
      </c>
    </row>
    <row r="64" spans="1:29" s="90" customFormat="1">
      <c r="A64" s="90">
        <v>2022</v>
      </c>
      <c r="B64" s="95" t="s">
        <v>298</v>
      </c>
      <c r="C64" s="96" t="s">
        <v>299</v>
      </c>
      <c r="D64" s="70">
        <f t="shared" si="12"/>
        <v>0</v>
      </c>
      <c r="E64" s="189">
        <f>SUMIFS('Plan prihoda za unos u SAP'!$H$3:$H$501,'Plan prihoda za unos u SAP'!$C$3:$C$501,"=11",'Plan prihoda za unos u SAP'!$K$3:$K$501,"=663")</f>
        <v>0</v>
      </c>
      <c r="F64" s="189">
        <f>SUMIFS('Plan prihoda za unos u SAP'!$H$3:$H$501,'Plan prihoda za unos u SAP'!$C$3:$C$501,"=12",'Plan prihoda za unos u SAP'!$K$3:$K$501,"=663")</f>
        <v>0</v>
      </c>
      <c r="G64" s="189">
        <f>SUMIFS('Plan prihoda za unos u SAP'!$H$3:$H$501,'Plan prihoda za unos u SAP'!$C$3:$C$501,"=31",'Plan prihoda za unos u SAP'!$K$3:$K$501,"=663")</f>
        <v>0</v>
      </c>
      <c r="H64" s="189">
        <f>SUMIFS('Plan prihoda za unos u SAP'!$H$3:$H$501,'Plan prihoda za unos u SAP'!$C$3:$C$501,"=41",'Plan prihoda za unos u SAP'!$K$3:$K$501,"=663")</f>
        <v>0</v>
      </c>
      <c r="I64" s="189">
        <f>SUMIFS('Plan prihoda za unos u SAP'!$H$3:$H$501,'Plan prihoda za unos u SAP'!$C$3:$C$501,"=43",'Plan prihoda za unos u SAP'!$K$3:$K$501,"=663")</f>
        <v>0</v>
      </c>
      <c r="J64" s="189">
        <f>SUMIFS('Plan prihoda za unos u SAP'!$H$3:$H$501,'Plan prihoda za unos u SAP'!$C$3:$C$501,"=51",'Plan prihoda za unos u SAP'!$K$3:$K$501,"=663")</f>
        <v>0</v>
      </c>
      <c r="K64" s="189">
        <f>SUMIFS('Plan prihoda za unos u SAP'!$H$3:$H$501,'Plan prihoda za unos u SAP'!$C$3:$C$501,"=52",'Plan prihoda za unos u SAP'!$K$3:$K$501,"=663")</f>
        <v>0</v>
      </c>
      <c r="L64" s="189">
        <f>SUMIFS('Plan prihoda za unos u SAP'!$H$3:$H$501,'Plan prihoda za unos u SAP'!$C$3:$C$501,"=552",'Plan prihoda za unos u SAP'!$K$3:$K$501,"=663")</f>
        <v>0</v>
      </c>
      <c r="M64" s="189">
        <f>SUMIFS('Plan prihoda za unos u SAP'!$H$3:$H$501,'Plan prihoda za unos u SAP'!$C$3:$C$501,"=559",'Plan prihoda za unos u SAP'!$K$3:$K$501,"=663")</f>
        <v>0</v>
      </c>
      <c r="N64" s="189">
        <f>SUMIFS('Plan prihoda za unos u SAP'!$H$3:$H$501,'Plan prihoda za unos u SAP'!$C$3:$C$501,"=561",'Plan prihoda za unos u SAP'!$K$3:$K$501,"=663")</f>
        <v>0</v>
      </c>
      <c r="O64" s="189">
        <f>SUMIFS('Plan prihoda za unos u SAP'!$H$3:$H$501,'Plan prihoda za unos u SAP'!$C$3:$C$501,"=563",'Plan prihoda za unos u SAP'!$K$3:$K$501,"=663")</f>
        <v>0</v>
      </c>
      <c r="P64" s="189">
        <f>SUMIFS('Plan prihoda za unos u SAP'!$H$3:$H$501,'Plan prihoda za unos u SAP'!$C$3:$C$501,"=573",'Plan prihoda za unos u SAP'!$K$3:$K$501,"=663")</f>
        <v>0</v>
      </c>
      <c r="Q64" s="189">
        <f>SUMIFS('Plan prihoda za unos u SAP'!$H$3:$H$501,'Plan prihoda za unos u SAP'!$C$3:$C$501,"=575",'Plan prihoda za unos u SAP'!$K$3:$K$501,"=663")</f>
        <v>0</v>
      </c>
      <c r="R64" s="189">
        <f>SUMIFS('Plan prihoda za unos u SAP'!$H$3:$H$501,'Plan prihoda za unos u SAP'!$C$3:$C$501,"=576",'Plan prihoda za unos u SAP'!$K$3:$K$501,"=663")</f>
        <v>0</v>
      </c>
      <c r="S64" s="189">
        <f>SUMIFS('Plan prihoda za unos u SAP'!$H$3:$H$501,'Plan prihoda za unos u SAP'!$C$3:$C$501,"=61",'Plan prihoda za unos u SAP'!$K$3:$K$501,"=663")</f>
        <v>0</v>
      </c>
      <c r="T64" s="189">
        <f>SUMIFS('Plan prihoda za unos u SAP'!$H$3:$H$501,'Plan prihoda za unos u SAP'!$C$3:$C$501,"=63",'Plan prihoda za unos u SAP'!$K$3:$K$501,"=663")</f>
        <v>0</v>
      </c>
      <c r="U64" s="189">
        <f>SUMIFS('Plan prihoda za unos u SAP'!$H$3:$H$501,'Plan prihoda za unos u SAP'!$C$3:$C$501,"=71",'Plan prihoda za unos u SAP'!$K$3:$K$501,"=663")</f>
        <v>0</v>
      </c>
      <c r="V64" s="189">
        <f>SUMIFS('Plan prihoda za unos u SAP'!$H$3:$H$501,'Plan prihoda za unos u SAP'!$C$3:$C$501,"=81",'Plan prihoda za unos u SAP'!$K$3:$K$501,"=663")</f>
        <v>0</v>
      </c>
      <c r="W64" s="189">
        <f>SUMIFS('Plan prihoda za unos u SAP'!$H$3:$H$501,'Plan prihoda za unos u SAP'!$C$3:$C$501,"=83",'Plan prihoda za unos u SAP'!$K$3:$K$501,"=663")</f>
        <v>0</v>
      </c>
    </row>
    <row r="65" spans="1:23" s="90" customFormat="1" ht="25.5">
      <c r="A65" s="90">
        <v>2022</v>
      </c>
      <c r="B65" s="95" t="s">
        <v>300</v>
      </c>
      <c r="C65" s="96" t="s">
        <v>260</v>
      </c>
      <c r="D65" s="70">
        <f t="shared" si="12"/>
        <v>7940627</v>
      </c>
      <c r="E65" s="189">
        <f>SUMIFS('Plan prihoda za unos u SAP'!$H$3:$H$501,'Plan prihoda za unos u SAP'!$C$3:$C$501,"=11",'Plan prihoda za unos u SAP'!$K$3:$K$501,"=671")</f>
        <v>7940627</v>
      </c>
      <c r="F65" s="189">
        <f>SUMIFS('Plan prihoda za unos u SAP'!$H$3:$H$501,'Plan prihoda za unos u SAP'!$C$3:$C$501,"=12",'Plan prihoda za unos u SAP'!$K$3:$K$501,"=671")</f>
        <v>0</v>
      </c>
      <c r="G65" s="189">
        <f>SUMIFS('Plan prihoda za unos u SAP'!$H$3:$H$501,'Plan prihoda za unos u SAP'!$C$3:$C$501,"=31",'Plan prihoda za unos u SAP'!$K$3:$K$501,"=671")</f>
        <v>0</v>
      </c>
      <c r="H65" s="189">
        <f>SUMIFS('Plan prihoda za unos u SAP'!$H$3:$H$501,'Plan prihoda za unos u SAP'!$C$3:$C$501,"=41",'Plan prihoda za unos u SAP'!$K$3:$K$501,"=671")</f>
        <v>0</v>
      </c>
      <c r="I65" s="189">
        <f>SUMIFS('Plan prihoda za unos u SAP'!$H$3:$H$501,'Plan prihoda za unos u SAP'!$C$3:$C$501,"=43",'Plan prihoda za unos u SAP'!$K$3:$K$501,"=671")</f>
        <v>0</v>
      </c>
      <c r="J65" s="189">
        <f>SUMIFS('Plan prihoda za unos u SAP'!$H$3:$H$501,'Plan prihoda za unos u SAP'!$C$3:$C$501,"=51",'Plan prihoda za unos u SAP'!$K$3:$K$501,"=671")</f>
        <v>0</v>
      </c>
      <c r="K65" s="189">
        <f>SUMIFS('Plan prihoda za unos u SAP'!$H$3:$H$501,'Plan prihoda za unos u SAP'!$C$3:$C$501,"=52",'Plan prihoda za unos u SAP'!$K$3:$K$501,"=671")</f>
        <v>0</v>
      </c>
      <c r="L65" s="189">
        <f>SUMIFS('Plan prihoda za unos u SAP'!$H$3:$H$501,'Plan prihoda za unos u SAP'!$C$3:$C$501,"=552",'Plan prihoda za unos u SAP'!$K$3:$K$501,"=671")</f>
        <v>0</v>
      </c>
      <c r="M65" s="189">
        <f>SUMIFS('Plan prihoda za unos u SAP'!$H$3:$H$501,'Plan prihoda za unos u SAP'!$C$3:$C$501,"=559",'Plan prihoda za unos u SAP'!$K$3:$K$501,"=671")</f>
        <v>0</v>
      </c>
      <c r="N65" s="189">
        <f>SUMIFS('Plan prihoda za unos u SAP'!$H$3:$H$501,'Plan prihoda za unos u SAP'!$C$3:$C$501,"=561",'Plan prihoda za unos u SAP'!$K$3:$K$501,"=671")</f>
        <v>0</v>
      </c>
      <c r="O65" s="189">
        <f>SUMIFS('Plan prihoda za unos u SAP'!$H$3:$H$501,'Plan prihoda za unos u SAP'!$C$3:$C$501,"=563",'Plan prihoda za unos u SAP'!$K$3:$K$501,"=671")</f>
        <v>0</v>
      </c>
      <c r="P65" s="189">
        <f>SUMIFS('Plan prihoda za unos u SAP'!$H$3:$H$501,'Plan prihoda za unos u SAP'!$C$3:$C$501,"=573",'Plan prihoda za unos u SAP'!$K$3:$K$501,"=671")</f>
        <v>0</v>
      </c>
      <c r="Q65" s="189">
        <f>SUMIFS('Plan prihoda za unos u SAP'!$H$3:$H$501,'Plan prihoda za unos u SAP'!$C$3:$C$501,"=575",'Plan prihoda za unos u SAP'!$K$3:$K$501,"=671")</f>
        <v>0</v>
      </c>
      <c r="R65" s="189">
        <f>SUMIFS('Plan prihoda za unos u SAP'!$H$3:$H$501,'Plan prihoda za unos u SAP'!$C$3:$C$501,"=576",'Plan prihoda za unos u SAP'!$K$3:$K$501,"=671")</f>
        <v>0</v>
      </c>
      <c r="S65" s="189">
        <f>SUMIFS('Plan prihoda za unos u SAP'!$H$3:$H$501,'Plan prihoda za unos u SAP'!$C$3:$C$501,"=61",'Plan prihoda za unos u SAP'!$K$3:$K$501,"=671")</f>
        <v>0</v>
      </c>
      <c r="T65" s="189">
        <f>SUMIFS('Plan prihoda za unos u SAP'!$H$3:$H$501,'Plan prihoda za unos u SAP'!$C$3:$C$501,"=63",'Plan prihoda za unos u SAP'!$K$3:$K$501,"=671")</f>
        <v>0</v>
      </c>
      <c r="U65" s="189">
        <f>SUMIFS('Plan prihoda za unos u SAP'!$H$3:$H$501,'Plan prihoda za unos u SAP'!$C$3:$C$501,"=71",'Plan prihoda za unos u SAP'!$K$3:$K$501,"=671")</f>
        <v>0</v>
      </c>
      <c r="V65" s="189">
        <f>SUMIFS('Plan prihoda za unos u SAP'!$H$3:$H$501,'Plan prihoda za unos u SAP'!$C$3:$C$501,"=81",'Plan prihoda za unos u SAP'!$K$3:$K$501,"=671")</f>
        <v>0</v>
      </c>
      <c r="W65" s="189">
        <f>SUMIFS('Plan prihoda za unos u SAP'!$H$3:$H$501,'Plan prihoda za unos u SAP'!$C$3:$C$501,"=83",'Plan prihoda za unos u SAP'!$K$3:$K$501,"=671")</f>
        <v>0</v>
      </c>
    </row>
    <row r="66" spans="1:23" s="90" customFormat="1">
      <c r="A66" s="90">
        <v>2022</v>
      </c>
      <c r="B66" s="95" t="s">
        <v>301</v>
      </c>
      <c r="C66" s="96" t="s">
        <v>302</v>
      </c>
      <c r="D66" s="70">
        <f t="shared" si="12"/>
        <v>0</v>
      </c>
      <c r="E66" s="189">
        <f>SUMIFS('Plan prihoda za unos u SAP'!$H$3:$H$501,'Plan prihoda za unos u SAP'!$C$3:$C$501,"=11",'Plan prihoda za unos u SAP'!$K$3:$K$501,"=681")</f>
        <v>0</v>
      </c>
      <c r="F66" s="189">
        <f>SUMIFS('Plan prihoda za unos u SAP'!$H$3:$H$501,'Plan prihoda za unos u SAP'!$C$3:$C$501,"=12",'Plan prihoda za unos u SAP'!$K$3:$K$501,"=681")</f>
        <v>0</v>
      </c>
      <c r="G66" s="189">
        <f>SUMIFS('Plan prihoda za unos u SAP'!$H$3:$H$501,'Plan prihoda za unos u SAP'!$C$3:$C$501,"=31",'Plan prihoda za unos u SAP'!$K$3:$K$501,"=681")</f>
        <v>0</v>
      </c>
      <c r="H66" s="189">
        <f>SUMIFS('Plan prihoda za unos u SAP'!$H$3:$H$501,'Plan prihoda za unos u SAP'!$C$3:$C$501,"=41",'Plan prihoda za unos u SAP'!$K$3:$K$501,"=681")</f>
        <v>0</v>
      </c>
      <c r="I66" s="189">
        <f>SUMIFS('Plan prihoda za unos u SAP'!$H$3:$H$501,'Plan prihoda za unos u SAP'!$C$3:$C$501,"=43",'Plan prihoda za unos u SAP'!$K$3:$K$501,"=681")</f>
        <v>0</v>
      </c>
      <c r="J66" s="189">
        <f>SUMIFS('Plan prihoda za unos u SAP'!$H$3:$H$501,'Plan prihoda za unos u SAP'!$C$3:$C$501,"=51",'Plan prihoda za unos u SAP'!$K$3:$K$501,"=681")</f>
        <v>0</v>
      </c>
      <c r="K66" s="189">
        <f>SUMIFS('Plan prihoda za unos u SAP'!$H$3:$H$501,'Plan prihoda za unos u SAP'!$C$3:$C$501,"=52",'Plan prihoda za unos u SAP'!$K$3:$K$501,"=681")</f>
        <v>0</v>
      </c>
      <c r="L66" s="189">
        <f>SUMIFS('Plan prihoda za unos u SAP'!$H$3:$H$501,'Plan prihoda za unos u SAP'!$C$3:$C$501,"=552",'Plan prihoda za unos u SAP'!$K$3:$K$501,"=681")</f>
        <v>0</v>
      </c>
      <c r="M66" s="189">
        <f>SUMIFS('Plan prihoda za unos u SAP'!$H$3:$H$501,'Plan prihoda za unos u SAP'!$C$3:$C$501,"=559",'Plan prihoda za unos u SAP'!$K$3:$K$501,"=681")</f>
        <v>0</v>
      </c>
      <c r="N66" s="189">
        <f>SUMIFS('Plan prihoda za unos u SAP'!$H$3:$H$501,'Plan prihoda za unos u SAP'!$C$3:$C$501,"=561",'Plan prihoda za unos u SAP'!$K$3:$K$501,"=681")</f>
        <v>0</v>
      </c>
      <c r="O66" s="189">
        <f>SUMIFS('Plan prihoda za unos u SAP'!$H$3:$H$501,'Plan prihoda za unos u SAP'!$C$3:$C$501,"=563",'Plan prihoda za unos u SAP'!$K$3:$K$501,"=681")</f>
        <v>0</v>
      </c>
      <c r="P66" s="189">
        <f>SUMIFS('Plan prihoda za unos u SAP'!$H$3:$H$501,'Plan prihoda za unos u SAP'!$C$3:$C$501,"=573",'Plan prihoda za unos u SAP'!$K$3:$K$501,"=681")</f>
        <v>0</v>
      </c>
      <c r="Q66" s="189">
        <f>SUMIFS('Plan prihoda za unos u SAP'!$H$3:$H$501,'Plan prihoda za unos u SAP'!$C$3:$C$501,"=575",'Plan prihoda za unos u SAP'!$K$3:$K$501,"=681")</f>
        <v>0</v>
      </c>
      <c r="R66" s="189">
        <f>SUMIFS('Plan prihoda za unos u SAP'!$H$3:$H$501,'Plan prihoda za unos u SAP'!$C$3:$C$501,"=576",'Plan prihoda za unos u SAP'!$K$3:$K$501,"=681")</f>
        <v>0</v>
      </c>
      <c r="S66" s="189">
        <f>SUMIFS('Plan prihoda za unos u SAP'!$H$3:$H$501,'Plan prihoda za unos u SAP'!$C$3:$C$501,"=61",'Plan prihoda za unos u SAP'!$K$3:$K$501,"=681")</f>
        <v>0</v>
      </c>
      <c r="T66" s="189">
        <f>SUMIFS('Plan prihoda za unos u SAP'!$H$3:$H$501,'Plan prihoda za unos u SAP'!$C$3:$C$501,"=63",'Plan prihoda za unos u SAP'!$K$3:$K$501,"=681")</f>
        <v>0</v>
      </c>
      <c r="U66" s="189">
        <f>SUMIFS('Plan prihoda za unos u SAP'!$H$3:$H$501,'Plan prihoda za unos u SAP'!$C$3:$C$501,"=71",'Plan prihoda za unos u SAP'!$K$3:$K$501,"=681")</f>
        <v>0</v>
      </c>
      <c r="V66" s="189">
        <f>SUMIFS('Plan prihoda za unos u SAP'!$H$3:$H$501,'Plan prihoda za unos u SAP'!$C$3:$C$501,"=81",'Plan prihoda za unos u SAP'!$K$3:$K$501,"=681")</f>
        <v>0</v>
      </c>
      <c r="W66" s="189">
        <f>SUMIFS('Plan prihoda za unos u SAP'!$H$3:$H$501,'Plan prihoda za unos u SAP'!$C$3:$C$501,"=83",'Plan prihoda za unos u SAP'!$K$3:$K$501,"=681")</f>
        <v>0</v>
      </c>
    </row>
    <row r="67" spans="1:23" s="90" customFormat="1">
      <c r="A67" s="90">
        <v>2022</v>
      </c>
      <c r="B67" s="95" t="s">
        <v>303</v>
      </c>
      <c r="C67" s="96" t="s">
        <v>304</v>
      </c>
      <c r="D67" s="70">
        <f t="shared" si="12"/>
        <v>6000</v>
      </c>
      <c r="E67" s="189">
        <f>SUMIFS('Plan prihoda za unos u SAP'!$H$3:$H$501,'Plan prihoda za unos u SAP'!$C$3:$C$501,"=11",'Plan prihoda za unos u SAP'!$K$3:$K$501,"=683")</f>
        <v>0</v>
      </c>
      <c r="F67" s="189">
        <f>SUMIFS('Plan prihoda za unos u SAP'!$H$3:$H$501,'Plan prihoda za unos u SAP'!$C$3:$C$501,"=12",'Plan prihoda za unos u SAP'!$K$3:$K$501,"=683")</f>
        <v>0</v>
      </c>
      <c r="G67" s="189">
        <f>SUMIFS('Plan prihoda za unos u SAP'!$H$3:$H$501,'Plan prihoda za unos u SAP'!$C$3:$C$501,"=31",'Plan prihoda za unos u SAP'!$K$3:$K$501,"=683")</f>
        <v>6000</v>
      </c>
      <c r="H67" s="189">
        <f>SUMIFS('Plan prihoda za unos u SAP'!$H$3:$H$501,'Plan prihoda za unos u SAP'!$C$3:$C$501,"=41",'Plan prihoda za unos u SAP'!$K$3:$K$501,"=683")</f>
        <v>0</v>
      </c>
      <c r="I67" s="189">
        <f>SUMIFS('Plan prihoda za unos u SAP'!$H$3:$H$501,'Plan prihoda za unos u SAP'!$C$3:$C$501,"=43",'Plan prihoda za unos u SAP'!$K$3:$K$501,"=683")</f>
        <v>0</v>
      </c>
      <c r="J67" s="189">
        <f>SUMIFS('Plan prihoda za unos u SAP'!$H$3:$H$501,'Plan prihoda za unos u SAP'!$C$3:$C$501,"=51",'Plan prihoda za unos u SAP'!$K$3:$K$501,"=683")</f>
        <v>0</v>
      </c>
      <c r="K67" s="189">
        <f>SUMIFS('Plan prihoda za unos u SAP'!$H$3:$H$501,'Plan prihoda za unos u SAP'!$C$3:$C$501,"=52",'Plan prihoda za unos u SAP'!$K$3:$K$501,"=683")</f>
        <v>0</v>
      </c>
      <c r="L67" s="189">
        <f>SUMIFS('Plan prihoda za unos u SAP'!$H$3:$H$501,'Plan prihoda za unos u SAP'!$C$3:$C$501,"=552",'Plan prihoda za unos u SAP'!$K$3:$K$501,"=683")</f>
        <v>0</v>
      </c>
      <c r="M67" s="189">
        <f>SUMIFS('Plan prihoda za unos u SAP'!$H$3:$H$501,'Plan prihoda za unos u SAP'!$C$3:$C$501,"=559",'Plan prihoda za unos u SAP'!$K$3:$K$501,"=683")</f>
        <v>0</v>
      </c>
      <c r="N67" s="189">
        <f>SUMIFS('Plan prihoda za unos u SAP'!$H$3:$H$501,'Plan prihoda za unos u SAP'!$C$3:$C$501,"=561",'Plan prihoda za unos u SAP'!$K$3:$K$501,"=683")</f>
        <v>0</v>
      </c>
      <c r="O67" s="189">
        <f>SUMIFS('Plan prihoda za unos u SAP'!$H$3:$H$501,'Plan prihoda za unos u SAP'!$C$3:$C$501,"=563",'Plan prihoda za unos u SAP'!$K$3:$K$501,"=683")</f>
        <v>0</v>
      </c>
      <c r="P67" s="189">
        <f>SUMIFS('Plan prihoda za unos u SAP'!$H$3:$H$501,'Plan prihoda za unos u SAP'!$C$3:$C$501,"=573",'Plan prihoda za unos u SAP'!$K$3:$K$501,"=683")</f>
        <v>0</v>
      </c>
      <c r="Q67" s="189">
        <f>SUMIFS('Plan prihoda za unos u SAP'!$H$3:$H$501,'Plan prihoda za unos u SAP'!$C$3:$C$501,"=575",'Plan prihoda za unos u SAP'!$K$3:$K$501,"=683")</f>
        <v>0</v>
      </c>
      <c r="R67" s="189">
        <f>SUMIFS('Plan prihoda za unos u SAP'!$H$3:$H$501,'Plan prihoda za unos u SAP'!$C$3:$C$501,"=576",'Plan prihoda za unos u SAP'!$K$3:$K$501,"=683")</f>
        <v>0</v>
      </c>
      <c r="S67" s="189">
        <f>SUMIFS('Plan prihoda za unos u SAP'!$H$3:$H$501,'Plan prihoda za unos u SAP'!$C$3:$C$501,"=61",'Plan prihoda za unos u SAP'!$K$3:$K$501,"=683")</f>
        <v>0</v>
      </c>
      <c r="T67" s="189">
        <f>SUMIFS('Plan prihoda za unos u SAP'!$H$3:$H$501,'Plan prihoda za unos u SAP'!$C$3:$C$501,"=63",'Plan prihoda za unos u SAP'!$K$3:$K$501,"=683")</f>
        <v>0</v>
      </c>
      <c r="U67" s="189">
        <f>SUMIFS('Plan prihoda za unos u SAP'!$H$3:$H$501,'Plan prihoda za unos u SAP'!$C$3:$C$501,"=71",'Plan prihoda za unos u SAP'!$K$3:$K$501,"=683")</f>
        <v>0</v>
      </c>
      <c r="V67" s="189">
        <f>SUMIFS('Plan prihoda za unos u SAP'!$H$3:$H$501,'Plan prihoda za unos u SAP'!$C$3:$C$501,"=81",'Plan prihoda za unos u SAP'!$K$3:$K$501,"=683")</f>
        <v>0</v>
      </c>
      <c r="W67" s="189">
        <f>SUMIFS('Plan prihoda za unos u SAP'!$H$3:$H$501,'Plan prihoda za unos u SAP'!$C$3:$C$501,"=83",'Plan prihoda za unos u SAP'!$K$3:$K$501,"=683")</f>
        <v>0</v>
      </c>
    </row>
    <row r="68" spans="1:23" s="90" customFormat="1">
      <c r="A68" s="90">
        <v>2022</v>
      </c>
      <c r="B68" s="98" t="s">
        <v>305</v>
      </c>
      <c r="C68" s="99" t="s">
        <v>306</v>
      </c>
      <c r="D68" s="70">
        <f t="shared" si="12"/>
        <v>8522977</v>
      </c>
      <c r="E68" s="4">
        <f>SUM(E52:E67)</f>
        <v>7940627</v>
      </c>
      <c r="F68" s="4">
        <f t="shared" ref="F68:W68" si="16">SUM(F52:F67)</f>
        <v>0</v>
      </c>
      <c r="G68" s="4">
        <f t="shared" si="16"/>
        <v>77100</v>
      </c>
      <c r="H68" s="4">
        <f t="shared" si="16"/>
        <v>0</v>
      </c>
      <c r="I68" s="4">
        <f t="shared" si="16"/>
        <v>485250</v>
      </c>
      <c r="J68" s="4">
        <f>SUM(J52:J67)</f>
        <v>0</v>
      </c>
      <c r="K68" s="4">
        <f t="shared" si="16"/>
        <v>20000</v>
      </c>
      <c r="L68" s="4">
        <f t="shared" si="16"/>
        <v>0</v>
      </c>
      <c r="M68" s="4">
        <f t="shared" si="16"/>
        <v>0</v>
      </c>
      <c r="N68" s="4">
        <f t="shared" si="16"/>
        <v>0</v>
      </c>
      <c r="O68" s="4">
        <f t="shared" si="16"/>
        <v>0</v>
      </c>
      <c r="P68" s="4">
        <f t="shared" si="16"/>
        <v>0</v>
      </c>
      <c r="Q68" s="4">
        <f t="shared" si="16"/>
        <v>0</v>
      </c>
      <c r="R68" s="4">
        <f t="shared" ref="R68" si="17">SUM(R52:R67)</f>
        <v>0</v>
      </c>
      <c r="S68" s="4">
        <f t="shared" si="16"/>
        <v>0</v>
      </c>
      <c r="T68" s="4">
        <f t="shared" si="16"/>
        <v>0</v>
      </c>
      <c r="U68" s="4">
        <f t="shared" si="16"/>
        <v>0</v>
      </c>
      <c r="V68" s="4">
        <f t="shared" si="16"/>
        <v>0</v>
      </c>
      <c r="W68" s="4">
        <f t="shared" si="16"/>
        <v>0</v>
      </c>
    </row>
    <row r="69" spans="1:23" s="90" customFormat="1">
      <c r="A69" s="90">
        <v>2022</v>
      </c>
      <c r="B69" s="95" t="s">
        <v>318</v>
      </c>
      <c r="C69" s="100" t="s">
        <v>319</v>
      </c>
      <c r="D69" s="70">
        <f t="shared" si="12"/>
        <v>0</v>
      </c>
      <c r="E69" s="189">
        <f>SUMIFS('Plan prihoda za unos u SAP'!$H$3:$H$501,'Plan prihoda za unos u SAP'!$C$3:$C$501,"=11",'Plan prihoda za unos u SAP'!$K$3:$K$501,"=711")</f>
        <v>0</v>
      </c>
      <c r="F69" s="189">
        <f>SUMIFS('Plan prihoda za unos u SAP'!$H$3:$H$501,'Plan prihoda za unos u SAP'!$C$3:$C$501,"=12",'Plan prihoda za unos u SAP'!$K$3:$K$501,"=711")</f>
        <v>0</v>
      </c>
      <c r="G69" s="189">
        <f>SUMIFS('Plan prihoda za unos u SAP'!$H$3:$H$501,'Plan prihoda za unos u SAP'!$C$3:$C$501,"=31",'Plan prihoda za unos u SAP'!$K$3:$K$501,"=711")</f>
        <v>0</v>
      </c>
      <c r="H69" s="189">
        <f>SUMIFS('Plan prihoda za unos u SAP'!$H$3:$H$501,'Plan prihoda za unos u SAP'!$C$3:$C$501,"=41",'Plan prihoda za unos u SAP'!$K$3:$K$501,"=711")</f>
        <v>0</v>
      </c>
      <c r="I69" s="189">
        <f>SUMIFS('Plan prihoda za unos u SAP'!$H$3:$H$501,'Plan prihoda za unos u SAP'!$C$3:$C$501,"=43",'Plan prihoda za unos u SAP'!$K$3:$K$501,"=711")</f>
        <v>0</v>
      </c>
      <c r="J69" s="189">
        <f>SUMIFS('Plan prihoda za unos u SAP'!$H$3:$H$501,'Plan prihoda za unos u SAP'!$C$3:$C$501,"=51",'Plan prihoda za unos u SAP'!$K$3:$K$501,"=711")</f>
        <v>0</v>
      </c>
      <c r="K69" s="189">
        <f>SUMIFS('Plan prihoda za unos u SAP'!$H$3:$H$501,'Plan prihoda za unos u SAP'!$C$3:$C$501,"=52",'Plan prihoda za unos u SAP'!$K$3:$K$501,"=711")</f>
        <v>0</v>
      </c>
      <c r="L69" s="189">
        <f>SUMIFS('Plan prihoda za unos u SAP'!$H$3:$H$501,'Plan prihoda za unos u SAP'!$C$3:$C$501,"=552",'Plan prihoda za unos u SAP'!$K$3:$K$501,"=711")</f>
        <v>0</v>
      </c>
      <c r="M69" s="189">
        <f>SUMIFS('Plan prihoda za unos u SAP'!$H$3:$H$501,'Plan prihoda za unos u SAP'!$C$3:$C$501,"=559",'Plan prihoda za unos u SAP'!$K$3:$K$501,"=711")</f>
        <v>0</v>
      </c>
      <c r="N69" s="189">
        <f>SUMIFS('Plan prihoda za unos u SAP'!$H$3:$H$501,'Plan prihoda za unos u SAP'!$C$3:$C$501,"=561",'Plan prihoda za unos u SAP'!$K$3:$K$501,"=711")</f>
        <v>0</v>
      </c>
      <c r="O69" s="189">
        <f>SUMIFS('Plan prihoda za unos u SAP'!$H$3:$H$501,'Plan prihoda za unos u SAP'!$C$3:$C$501,"=563",'Plan prihoda za unos u SAP'!$K$3:$K$501,"=711")</f>
        <v>0</v>
      </c>
      <c r="P69" s="189">
        <f>SUMIFS('Plan prihoda za unos u SAP'!$H$3:$H$501,'Plan prihoda za unos u SAP'!$C$3:$C$501,"=573",'Plan prihoda za unos u SAP'!$K$3:$K$501,"=711")</f>
        <v>0</v>
      </c>
      <c r="Q69" s="189">
        <f>SUMIFS('Plan prihoda za unos u SAP'!$H$3:$H$501,'Plan prihoda za unos u SAP'!$C$3:$C$501,"=575",'Plan prihoda za unos u SAP'!$K$3:$K$501,"=711")</f>
        <v>0</v>
      </c>
      <c r="R69" s="189">
        <f>SUMIFS('Plan prihoda za unos u SAP'!$H$3:$H$501,'Plan prihoda za unos u SAP'!$C$3:$C$501,"=576",'Plan prihoda za unos u SAP'!$K$3:$K$501,"=711")</f>
        <v>0</v>
      </c>
      <c r="S69" s="189">
        <f>SUMIFS('Plan prihoda za unos u SAP'!$H$3:$H$501,'Plan prihoda za unos u SAP'!$C$3:$C$501,"=61",'Plan prihoda za unos u SAP'!$K$3:$K$501,"=711")</f>
        <v>0</v>
      </c>
      <c r="T69" s="189">
        <f>SUMIFS('Plan prihoda za unos u SAP'!$H$3:$H$501,'Plan prihoda za unos u SAP'!$C$3:$C$501,"=63",'Plan prihoda za unos u SAP'!$K$3:$K$501,"=711")</f>
        <v>0</v>
      </c>
      <c r="U69" s="189">
        <f>SUMIFS('Plan prihoda za unos u SAP'!$H$3:$H$501,'Plan prihoda za unos u SAP'!$C$3:$C$501,"=71",'Plan prihoda za unos u SAP'!$K$3:$K$501,"=711")</f>
        <v>0</v>
      </c>
      <c r="V69" s="189">
        <f>SUMIFS('Plan prihoda za unos u SAP'!$H$3:$H$501,'Plan prihoda za unos u SAP'!$C$3:$C$501,"=81",'Plan prihoda za unos u SAP'!$K$3:$K$501,"=711")</f>
        <v>0</v>
      </c>
      <c r="W69" s="189">
        <f>SUMIFS('Plan prihoda za unos u SAP'!$H$3:$H$501,'Plan prihoda za unos u SAP'!$C$3:$C$501,"=83",'Plan prihoda za unos u SAP'!$K$3:$K$501,"=711")</f>
        <v>0</v>
      </c>
    </row>
    <row r="70" spans="1:23" s="90" customFormat="1">
      <c r="A70" s="90">
        <v>2022</v>
      </c>
      <c r="B70" s="95" t="s">
        <v>320</v>
      </c>
      <c r="C70" s="100" t="s">
        <v>321</v>
      </c>
      <c r="D70" s="70">
        <f t="shared" si="12"/>
        <v>0</v>
      </c>
      <c r="E70" s="189">
        <f>SUMIFS('Plan prihoda za unos u SAP'!$H$3:$H$501,'Plan prihoda za unos u SAP'!$C$3:$C$501,"=11",'Plan prihoda za unos u SAP'!$K$3:$K$501,"=712")</f>
        <v>0</v>
      </c>
      <c r="F70" s="189">
        <f>SUMIFS('Plan prihoda za unos u SAP'!$H$3:$H$501,'Plan prihoda za unos u SAP'!$C$3:$C$501,"=12",'Plan prihoda za unos u SAP'!$K$3:$K$501,"=712")</f>
        <v>0</v>
      </c>
      <c r="G70" s="189">
        <f>SUMIFS('Plan prihoda za unos u SAP'!$H$3:$H$501,'Plan prihoda za unos u SAP'!$C$3:$C$501,"=31",'Plan prihoda za unos u SAP'!$K$3:$K$501,"=712")</f>
        <v>0</v>
      </c>
      <c r="H70" s="189">
        <f>SUMIFS('Plan prihoda za unos u SAP'!$H$3:$H$501,'Plan prihoda za unos u SAP'!$C$3:$C$501,"=41",'Plan prihoda za unos u SAP'!$K$3:$K$501,"=712")</f>
        <v>0</v>
      </c>
      <c r="I70" s="189">
        <f>SUMIFS('Plan prihoda za unos u SAP'!$H$3:$H$501,'Plan prihoda za unos u SAP'!$C$3:$C$501,"=43",'Plan prihoda za unos u SAP'!$K$3:$K$501,"=712")</f>
        <v>0</v>
      </c>
      <c r="J70" s="189">
        <f>SUMIFS('Plan prihoda za unos u SAP'!$H$3:$H$501,'Plan prihoda za unos u SAP'!$C$3:$C$501,"=51",'Plan prihoda za unos u SAP'!$K$3:$K$501,"=712")</f>
        <v>0</v>
      </c>
      <c r="K70" s="189">
        <f>SUMIFS('Plan prihoda za unos u SAP'!$H$3:$H$501,'Plan prihoda za unos u SAP'!$C$3:$C$501,"=52",'Plan prihoda za unos u SAP'!$K$3:$K$501,"=712")</f>
        <v>0</v>
      </c>
      <c r="L70" s="189">
        <f>SUMIFS('Plan prihoda za unos u SAP'!$H$3:$H$501,'Plan prihoda za unos u SAP'!$C$3:$C$501,"=552",'Plan prihoda za unos u SAP'!$K$3:$K$501,"=712")</f>
        <v>0</v>
      </c>
      <c r="M70" s="189">
        <f>SUMIFS('Plan prihoda za unos u SAP'!$H$3:$H$501,'Plan prihoda za unos u SAP'!$C$3:$C$501,"=559",'Plan prihoda za unos u SAP'!$K$3:$K$501,"=712")</f>
        <v>0</v>
      </c>
      <c r="N70" s="189">
        <f>SUMIFS('Plan prihoda za unos u SAP'!$H$3:$H$501,'Plan prihoda za unos u SAP'!$C$3:$C$501,"=561",'Plan prihoda za unos u SAP'!$K$3:$K$501,"=712")</f>
        <v>0</v>
      </c>
      <c r="O70" s="189">
        <f>SUMIFS('Plan prihoda za unos u SAP'!$H$3:$H$501,'Plan prihoda za unos u SAP'!$C$3:$C$501,"=563",'Plan prihoda za unos u SAP'!$K$3:$K$501,"=712")</f>
        <v>0</v>
      </c>
      <c r="P70" s="189">
        <f>SUMIFS('Plan prihoda za unos u SAP'!$H$3:$H$501,'Plan prihoda za unos u SAP'!$C$3:$C$501,"=573",'Plan prihoda za unos u SAP'!$K$3:$K$501,"=712")</f>
        <v>0</v>
      </c>
      <c r="Q70" s="189">
        <f>SUMIFS('Plan prihoda za unos u SAP'!$H$3:$H$501,'Plan prihoda za unos u SAP'!$C$3:$C$501,"=575",'Plan prihoda za unos u SAP'!$K$3:$K$501,"=712")</f>
        <v>0</v>
      </c>
      <c r="R70" s="189">
        <f>SUMIFS('Plan prihoda za unos u SAP'!$H$3:$H$501,'Plan prihoda za unos u SAP'!$C$3:$C$501,"=576",'Plan prihoda za unos u SAP'!$K$3:$K$501,"=712")</f>
        <v>0</v>
      </c>
      <c r="S70" s="189">
        <f>SUMIFS('Plan prihoda za unos u SAP'!$H$3:$H$501,'Plan prihoda za unos u SAP'!$C$3:$C$501,"=61",'Plan prihoda za unos u SAP'!$K$3:$K$501,"=712")</f>
        <v>0</v>
      </c>
      <c r="T70" s="189">
        <f>SUMIFS('Plan prihoda za unos u SAP'!$H$3:$H$501,'Plan prihoda za unos u SAP'!$C$3:$C$501,"=63",'Plan prihoda za unos u SAP'!$K$3:$K$501,"=712")</f>
        <v>0</v>
      </c>
      <c r="U70" s="189">
        <f>SUMIFS('Plan prihoda za unos u SAP'!$H$3:$H$501,'Plan prihoda za unos u SAP'!$C$3:$C$501,"=71",'Plan prihoda za unos u SAP'!$K$3:$K$501,"=712")</f>
        <v>0</v>
      </c>
      <c r="V70" s="189">
        <f>SUMIFS('Plan prihoda za unos u SAP'!$H$3:$H$501,'Plan prihoda za unos u SAP'!$C$3:$C$501,"=81",'Plan prihoda za unos u SAP'!$K$3:$K$501,"=712")</f>
        <v>0</v>
      </c>
      <c r="W70" s="189">
        <f>SUMIFS('Plan prihoda za unos u SAP'!$H$3:$H$501,'Plan prihoda za unos u SAP'!$C$3:$C$501,"=83",'Plan prihoda za unos u SAP'!$K$3:$K$501,"=712")</f>
        <v>0</v>
      </c>
    </row>
    <row r="71" spans="1:23" s="90" customFormat="1">
      <c r="A71" s="90">
        <v>2022</v>
      </c>
      <c r="B71" s="95" t="s">
        <v>307</v>
      </c>
      <c r="C71" s="100" t="s">
        <v>308</v>
      </c>
      <c r="D71" s="70">
        <f t="shared" si="12"/>
        <v>0</v>
      </c>
      <c r="E71" s="189">
        <f>SUMIFS('Plan prihoda za unos u SAP'!$H$3:$H$501,'Plan prihoda za unos u SAP'!$C$3:$C$501,"=11",'Plan prihoda za unos u SAP'!$K$3:$K$501,"=721")</f>
        <v>0</v>
      </c>
      <c r="F71" s="189">
        <f>SUMIFS('Plan prihoda za unos u SAP'!$H$3:$H$501,'Plan prihoda za unos u SAP'!$C$3:$C$501,"=12",'Plan prihoda za unos u SAP'!$K$3:$K$501,"=721")</f>
        <v>0</v>
      </c>
      <c r="G71" s="189">
        <f>SUMIFS('Plan prihoda za unos u SAP'!$H$3:$H$501,'Plan prihoda za unos u SAP'!$C$3:$C$501,"=31",'Plan prihoda za unos u SAP'!$K$3:$K$501,"=721")</f>
        <v>0</v>
      </c>
      <c r="H71" s="189">
        <f>SUMIFS('Plan prihoda za unos u SAP'!$H$3:$H$501,'Plan prihoda za unos u SAP'!$C$3:$C$501,"=41",'Plan prihoda za unos u SAP'!$K$3:$K$501,"=721")</f>
        <v>0</v>
      </c>
      <c r="I71" s="189">
        <f>SUMIFS('Plan prihoda za unos u SAP'!$H$3:$H$501,'Plan prihoda za unos u SAP'!$C$3:$C$501,"=43",'Plan prihoda za unos u SAP'!$K$3:$K$501,"=721")</f>
        <v>0</v>
      </c>
      <c r="J71" s="189">
        <f>SUMIFS('Plan prihoda za unos u SAP'!$H$3:$H$501,'Plan prihoda za unos u SAP'!$C$3:$C$501,"=51",'Plan prihoda za unos u SAP'!$K$3:$K$501,"=721")</f>
        <v>0</v>
      </c>
      <c r="K71" s="189">
        <f>SUMIFS('Plan prihoda za unos u SAP'!$H$3:$H$501,'Plan prihoda za unos u SAP'!$C$3:$C$501,"=52",'Plan prihoda za unos u SAP'!$K$3:$K$501,"=721")</f>
        <v>0</v>
      </c>
      <c r="L71" s="189">
        <f>SUMIFS('Plan prihoda za unos u SAP'!$H$3:$H$501,'Plan prihoda za unos u SAP'!$C$3:$C$501,"=552",'Plan prihoda za unos u SAP'!$K$3:$K$501,"=721")</f>
        <v>0</v>
      </c>
      <c r="M71" s="189">
        <f>SUMIFS('Plan prihoda za unos u SAP'!$H$3:$H$501,'Plan prihoda za unos u SAP'!$C$3:$C$501,"=559",'Plan prihoda za unos u SAP'!$K$3:$K$501,"=721")</f>
        <v>0</v>
      </c>
      <c r="N71" s="189">
        <f>SUMIFS('Plan prihoda za unos u SAP'!$H$3:$H$501,'Plan prihoda za unos u SAP'!$C$3:$C$501,"=561",'Plan prihoda za unos u SAP'!$K$3:$K$501,"=721")</f>
        <v>0</v>
      </c>
      <c r="O71" s="189">
        <f>SUMIFS('Plan prihoda za unos u SAP'!$H$3:$H$501,'Plan prihoda za unos u SAP'!$C$3:$C$501,"=563",'Plan prihoda za unos u SAP'!$K$3:$K$501,"=721")</f>
        <v>0</v>
      </c>
      <c r="P71" s="189">
        <f>SUMIFS('Plan prihoda za unos u SAP'!$H$3:$H$501,'Plan prihoda za unos u SAP'!$C$3:$C$501,"=573",'Plan prihoda za unos u SAP'!$K$3:$K$501,"=721")</f>
        <v>0</v>
      </c>
      <c r="Q71" s="189">
        <f>SUMIFS('Plan prihoda za unos u SAP'!$H$3:$H$501,'Plan prihoda za unos u SAP'!$C$3:$C$501,"=575",'Plan prihoda za unos u SAP'!$K$3:$K$501,"=721")</f>
        <v>0</v>
      </c>
      <c r="R71" s="189">
        <f>SUMIFS('Plan prihoda za unos u SAP'!$H$3:$H$501,'Plan prihoda za unos u SAP'!$C$3:$C$501,"=576",'Plan prihoda za unos u SAP'!$K$3:$K$501,"=721")</f>
        <v>0</v>
      </c>
      <c r="S71" s="189">
        <f>SUMIFS('Plan prihoda za unos u SAP'!$H$3:$H$501,'Plan prihoda za unos u SAP'!$C$3:$C$501,"=61",'Plan prihoda za unos u SAP'!$K$3:$K$501,"=721")</f>
        <v>0</v>
      </c>
      <c r="T71" s="189">
        <f>SUMIFS('Plan prihoda za unos u SAP'!$H$3:$H$501,'Plan prihoda za unos u SAP'!$C$3:$C$501,"=63",'Plan prihoda za unos u SAP'!$K$3:$K$501,"=721")</f>
        <v>0</v>
      </c>
      <c r="U71" s="189">
        <f>SUMIFS('Plan prihoda za unos u SAP'!$H$3:$H$501,'Plan prihoda za unos u SAP'!$C$3:$C$501,"=71",'Plan prihoda za unos u SAP'!$K$3:$K$501,"=721")</f>
        <v>0</v>
      </c>
      <c r="V71" s="189">
        <f>SUMIFS('Plan prihoda za unos u SAP'!$H$3:$H$501,'Plan prihoda za unos u SAP'!$C$3:$C$501,"=81",'Plan prihoda za unos u SAP'!$K$3:$K$501,"=721")</f>
        <v>0</v>
      </c>
      <c r="W71" s="189">
        <f>SUMIFS('Plan prihoda za unos u SAP'!$H$3:$H$501,'Plan prihoda za unos u SAP'!$C$3:$C$501,"=83",'Plan prihoda za unos u SAP'!$K$3:$K$501,"=721")</f>
        <v>0</v>
      </c>
    </row>
    <row r="72" spans="1:23" s="90" customFormat="1">
      <c r="A72" s="90">
        <v>2022</v>
      </c>
      <c r="B72" s="95" t="s">
        <v>309</v>
      </c>
      <c r="C72" s="100" t="s">
        <v>310</v>
      </c>
      <c r="D72" s="70">
        <f t="shared" si="12"/>
        <v>0</v>
      </c>
      <c r="E72" s="189">
        <f>SUMIFS('Plan prihoda za unos u SAP'!$H$3:$H$501,'Plan prihoda za unos u SAP'!$C$3:$C$501,"=11",'Plan prihoda za unos u SAP'!$K$3:$K$501,"=722")</f>
        <v>0</v>
      </c>
      <c r="F72" s="189">
        <f>SUMIFS('Plan prihoda za unos u SAP'!$H$3:$H$501,'Plan prihoda za unos u SAP'!$C$3:$C$501,"=12",'Plan prihoda za unos u SAP'!$K$3:$K$501,"=722")</f>
        <v>0</v>
      </c>
      <c r="G72" s="189">
        <f>SUMIFS('Plan prihoda za unos u SAP'!$H$3:$H$501,'Plan prihoda za unos u SAP'!$C$3:$C$501,"=31",'Plan prihoda za unos u SAP'!$K$3:$K$501,"=722")</f>
        <v>0</v>
      </c>
      <c r="H72" s="189">
        <f>SUMIFS('Plan prihoda za unos u SAP'!$H$3:$H$501,'Plan prihoda za unos u SAP'!$C$3:$C$501,"=41",'Plan prihoda za unos u SAP'!$K$3:$K$501,"=722")</f>
        <v>0</v>
      </c>
      <c r="I72" s="189">
        <f>SUMIFS('Plan prihoda za unos u SAP'!$H$3:$H$501,'Plan prihoda za unos u SAP'!$C$3:$C$501,"=43",'Plan prihoda za unos u SAP'!$K$3:$K$501,"=722")</f>
        <v>0</v>
      </c>
      <c r="J72" s="189">
        <f>SUMIFS('Plan prihoda za unos u SAP'!$H$3:$H$501,'Plan prihoda za unos u SAP'!$C$3:$C$501,"=51",'Plan prihoda za unos u SAP'!$K$3:$K$501,"=722")</f>
        <v>0</v>
      </c>
      <c r="K72" s="189">
        <f>SUMIFS('Plan prihoda za unos u SAP'!$H$3:$H$501,'Plan prihoda za unos u SAP'!$C$3:$C$501,"=52",'Plan prihoda za unos u SAP'!$K$3:$K$501,"=722")</f>
        <v>0</v>
      </c>
      <c r="L72" s="189">
        <f>SUMIFS('Plan prihoda za unos u SAP'!$H$3:$H$501,'Plan prihoda za unos u SAP'!$C$3:$C$501,"=552",'Plan prihoda za unos u SAP'!$K$3:$K$501,"=722")</f>
        <v>0</v>
      </c>
      <c r="M72" s="189">
        <f>SUMIFS('Plan prihoda za unos u SAP'!$H$3:$H$501,'Plan prihoda za unos u SAP'!$C$3:$C$501,"=559",'Plan prihoda za unos u SAP'!$K$3:$K$501,"=722")</f>
        <v>0</v>
      </c>
      <c r="N72" s="189">
        <f>SUMIFS('Plan prihoda za unos u SAP'!$H$3:$H$501,'Plan prihoda za unos u SAP'!$C$3:$C$501,"=561",'Plan prihoda za unos u SAP'!$K$3:$K$501,"=722")</f>
        <v>0</v>
      </c>
      <c r="O72" s="189">
        <f>SUMIFS('Plan prihoda za unos u SAP'!$H$3:$H$501,'Plan prihoda za unos u SAP'!$C$3:$C$501,"=563",'Plan prihoda za unos u SAP'!$K$3:$K$501,"=722")</f>
        <v>0</v>
      </c>
      <c r="P72" s="189">
        <f>SUMIFS('Plan prihoda za unos u SAP'!$H$3:$H$501,'Plan prihoda za unos u SAP'!$C$3:$C$501,"=573",'Plan prihoda za unos u SAP'!$K$3:$K$501,"=722")</f>
        <v>0</v>
      </c>
      <c r="Q72" s="189">
        <f>SUMIFS('Plan prihoda za unos u SAP'!$H$3:$H$501,'Plan prihoda za unos u SAP'!$C$3:$C$501,"=575",'Plan prihoda za unos u SAP'!$K$3:$K$501,"=722")</f>
        <v>0</v>
      </c>
      <c r="R72" s="189">
        <f>SUMIFS('Plan prihoda za unos u SAP'!$H$3:$H$501,'Plan prihoda za unos u SAP'!$C$3:$C$501,"=576",'Plan prihoda za unos u SAP'!$K$3:$K$501,"=722")</f>
        <v>0</v>
      </c>
      <c r="S72" s="189">
        <f>SUMIFS('Plan prihoda za unos u SAP'!$H$3:$H$501,'Plan prihoda za unos u SAP'!$C$3:$C$501,"=61",'Plan prihoda za unos u SAP'!$K$3:$K$501,"=722")</f>
        <v>0</v>
      </c>
      <c r="T72" s="189">
        <f>SUMIFS('Plan prihoda za unos u SAP'!$H$3:$H$501,'Plan prihoda za unos u SAP'!$C$3:$C$501,"=63",'Plan prihoda za unos u SAP'!$K$3:$K$501,"=722")</f>
        <v>0</v>
      </c>
      <c r="U72" s="189">
        <f>SUMIFS('Plan prihoda za unos u SAP'!$H$3:$H$501,'Plan prihoda za unos u SAP'!$C$3:$C$501,"=71",'Plan prihoda za unos u SAP'!$K$3:$K$501,"=722")</f>
        <v>0</v>
      </c>
      <c r="V72" s="189">
        <f>SUMIFS('Plan prihoda za unos u SAP'!$H$3:$H$501,'Plan prihoda za unos u SAP'!$C$3:$C$501,"=81",'Plan prihoda za unos u SAP'!$K$3:$K$501,"=722")</f>
        <v>0</v>
      </c>
      <c r="W72" s="189">
        <f>SUMIFS('Plan prihoda za unos u SAP'!$H$3:$H$501,'Plan prihoda za unos u SAP'!$C$3:$C$501,"=83",'Plan prihoda za unos u SAP'!$K$3:$K$501,"=722")</f>
        <v>0</v>
      </c>
    </row>
    <row r="73" spans="1:23" s="90" customFormat="1">
      <c r="A73" s="90">
        <v>2022</v>
      </c>
      <c r="B73" s="95" t="s">
        <v>311</v>
      </c>
      <c r="C73" s="100" t="s">
        <v>312</v>
      </c>
      <c r="D73" s="70">
        <f t="shared" si="12"/>
        <v>0</v>
      </c>
      <c r="E73" s="189">
        <f>SUMIFS('Plan prihoda za unos u SAP'!$H$3:$H$501,'Plan prihoda za unos u SAP'!$C$3:$C$501,"=11",'Plan prihoda za unos u SAP'!$K$3:$K$501,"=723")</f>
        <v>0</v>
      </c>
      <c r="F73" s="189">
        <f>SUMIFS('Plan prihoda za unos u SAP'!$H$3:$H$501,'Plan prihoda za unos u SAP'!$C$3:$C$501,"=12",'Plan prihoda za unos u SAP'!$K$3:$K$501,"=723")</f>
        <v>0</v>
      </c>
      <c r="G73" s="189">
        <f>SUMIFS('Plan prihoda za unos u SAP'!$H$3:$H$501,'Plan prihoda za unos u SAP'!$C$3:$C$501,"=31",'Plan prihoda za unos u SAP'!$K$3:$K$501,"=723")</f>
        <v>0</v>
      </c>
      <c r="H73" s="189">
        <f>SUMIFS('Plan prihoda za unos u SAP'!$H$3:$H$501,'Plan prihoda za unos u SAP'!$C$3:$C$501,"=41",'Plan prihoda za unos u SAP'!$K$3:$K$501,"=723")</f>
        <v>0</v>
      </c>
      <c r="I73" s="189">
        <f>SUMIFS('Plan prihoda za unos u SAP'!$H$3:$H$501,'Plan prihoda za unos u SAP'!$C$3:$C$501,"=43",'Plan prihoda za unos u SAP'!$K$3:$K$501,"=723")</f>
        <v>0</v>
      </c>
      <c r="J73" s="189">
        <f>SUMIFS('Plan prihoda za unos u SAP'!$H$3:$H$501,'Plan prihoda za unos u SAP'!$C$3:$C$501,"=51",'Plan prihoda za unos u SAP'!$K$3:$K$501,"=723")</f>
        <v>0</v>
      </c>
      <c r="K73" s="189">
        <f>SUMIFS('Plan prihoda za unos u SAP'!$H$3:$H$501,'Plan prihoda za unos u SAP'!$C$3:$C$501,"=52",'Plan prihoda za unos u SAP'!$K$3:$K$501,"=723")</f>
        <v>0</v>
      </c>
      <c r="L73" s="189">
        <f>SUMIFS('Plan prihoda za unos u SAP'!$H$3:$H$501,'Plan prihoda za unos u SAP'!$C$3:$C$501,"=552",'Plan prihoda za unos u SAP'!$K$3:$K$501,"=723")</f>
        <v>0</v>
      </c>
      <c r="M73" s="189">
        <f>SUMIFS('Plan prihoda za unos u SAP'!$H$3:$H$501,'Plan prihoda za unos u SAP'!$C$3:$C$501,"=559",'Plan prihoda za unos u SAP'!$K$3:$K$501,"=723")</f>
        <v>0</v>
      </c>
      <c r="N73" s="189">
        <f>SUMIFS('Plan prihoda za unos u SAP'!$H$3:$H$501,'Plan prihoda za unos u SAP'!$C$3:$C$501,"=561",'Plan prihoda za unos u SAP'!$K$3:$K$501,"=723")</f>
        <v>0</v>
      </c>
      <c r="O73" s="189">
        <f>SUMIFS('Plan prihoda za unos u SAP'!$H$3:$H$501,'Plan prihoda za unos u SAP'!$C$3:$C$501,"=563",'Plan prihoda za unos u SAP'!$K$3:$K$501,"=723")</f>
        <v>0</v>
      </c>
      <c r="P73" s="189">
        <f>SUMIFS('Plan prihoda za unos u SAP'!$H$3:$H$501,'Plan prihoda za unos u SAP'!$C$3:$C$501,"=573",'Plan prihoda za unos u SAP'!$K$3:$K$501,"=723")</f>
        <v>0</v>
      </c>
      <c r="Q73" s="189">
        <f>SUMIFS('Plan prihoda za unos u SAP'!$H$3:$H$501,'Plan prihoda za unos u SAP'!$C$3:$C$501,"=575",'Plan prihoda za unos u SAP'!$K$3:$K$501,"=723")</f>
        <v>0</v>
      </c>
      <c r="R73" s="189">
        <f>SUMIFS('Plan prihoda za unos u SAP'!$H$3:$H$501,'Plan prihoda za unos u SAP'!$C$3:$C$501,"=576",'Plan prihoda za unos u SAP'!$K$3:$K$501,"=723")</f>
        <v>0</v>
      </c>
      <c r="S73" s="189">
        <f>SUMIFS('Plan prihoda za unos u SAP'!$H$3:$H$501,'Plan prihoda za unos u SAP'!$C$3:$C$501,"=61",'Plan prihoda za unos u SAP'!$K$3:$K$501,"=723")</f>
        <v>0</v>
      </c>
      <c r="T73" s="189">
        <f>SUMIFS('Plan prihoda za unos u SAP'!$H$3:$H$501,'Plan prihoda za unos u SAP'!$C$3:$C$501,"=63",'Plan prihoda za unos u SAP'!$K$3:$K$501,"=723")</f>
        <v>0</v>
      </c>
      <c r="U73" s="189">
        <f>SUMIFS('Plan prihoda za unos u SAP'!$H$3:$H$501,'Plan prihoda za unos u SAP'!$C$3:$C$501,"=71",'Plan prihoda za unos u SAP'!$K$3:$K$501,"=723")</f>
        <v>0</v>
      </c>
      <c r="V73" s="189">
        <f>SUMIFS('Plan prihoda za unos u SAP'!$H$3:$H$501,'Plan prihoda za unos u SAP'!$C$3:$C$501,"=81",'Plan prihoda za unos u SAP'!$K$3:$K$501,"=723")</f>
        <v>0</v>
      </c>
      <c r="W73" s="189">
        <f>SUMIFS('Plan prihoda za unos u SAP'!$H$3:$H$501,'Plan prihoda za unos u SAP'!$C$3:$C$501,"=83",'Plan prihoda za unos u SAP'!$K$3:$K$501,"=723")</f>
        <v>0</v>
      </c>
    </row>
    <row r="74" spans="1:23" s="90" customFormat="1">
      <c r="A74" s="90">
        <v>2022</v>
      </c>
      <c r="B74" s="95" t="s">
        <v>322</v>
      </c>
      <c r="C74" s="100" t="s">
        <v>323</v>
      </c>
      <c r="D74" s="70">
        <f t="shared" si="12"/>
        <v>0</v>
      </c>
      <c r="E74" s="189">
        <f>SUMIFS('Plan prihoda za unos u SAP'!$H$3:$H$501,'Plan prihoda za unos u SAP'!$C$3:$C$501,"=11",'Plan prihoda za unos u SAP'!$K$3:$K$501,"=725")</f>
        <v>0</v>
      </c>
      <c r="F74" s="189">
        <f>SUMIFS('Plan prihoda za unos u SAP'!$H$3:$H$501,'Plan prihoda za unos u SAP'!$C$3:$C$501,"=12",'Plan prihoda za unos u SAP'!$K$3:$K$501,"=725")</f>
        <v>0</v>
      </c>
      <c r="G74" s="189">
        <f>SUMIFS('Plan prihoda za unos u SAP'!$H$3:$H$501,'Plan prihoda za unos u SAP'!$C$3:$C$501,"=31",'Plan prihoda za unos u SAP'!$K$3:$K$501,"=725")</f>
        <v>0</v>
      </c>
      <c r="H74" s="189">
        <f>SUMIFS('Plan prihoda za unos u SAP'!$H$3:$H$501,'Plan prihoda za unos u SAP'!$C$3:$C$501,"=41",'Plan prihoda za unos u SAP'!$K$3:$K$501,"=725")</f>
        <v>0</v>
      </c>
      <c r="I74" s="189">
        <f>SUMIFS('Plan prihoda za unos u SAP'!$H$3:$H$501,'Plan prihoda za unos u SAP'!$C$3:$C$501,"=43",'Plan prihoda za unos u SAP'!$K$3:$K$501,"=725")</f>
        <v>0</v>
      </c>
      <c r="J74" s="189">
        <f>SUMIFS('Plan prihoda za unos u SAP'!$H$3:$H$501,'Plan prihoda za unos u SAP'!$C$3:$C$501,"=51",'Plan prihoda za unos u SAP'!$K$3:$K$501,"=725")</f>
        <v>0</v>
      </c>
      <c r="K74" s="189">
        <f>SUMIFS('Plan prihoda za unos u SAP'!$H$3:$H$501,'Plan prihoda za unos u SAP'!$C$3:$C$501,"=52",'Plan prihoda za unos u SAP'!$K$3:$K$501,"=725")</f>
        <v>0</v>
      </c>
      <c r="L74" s="189">
        <f>SUMIFS('Plan prihoda za unos u SAP'!$H$3:$H$501,'Plan prihoda za unos u SAP'!$C$3:$C$501,"=552",'Plan prihoda za unos u SAP'!$K$3:$K$501,"=725")</f>
        <v>0</v>
      </c>
      <c r="M74" s="189">
        <f>SUMIFS('Plan prihoda za unos u SAP'!$H$3:$H$501,'Plan prihoda za unos u SAP'!$C$3:$C$501,"=559",'Plan prihoda za unos u SAP'!$K$3:$K$501,"=725")</f>
        <v>0</v>
      </c>
      <c r="N74" s="189">
        <f>SUMIFS('Plan prihoda za unos u SAP'!$H$3:$H$501,'Plan prihoda za unos u SAP'!$C$3:$C$501,"=561",'Plan prihoda za unos u SAP'!$K$3:$K$501,"=725")</f>
        <v>0</v>
      </c>
      <c r="O74" s="189">
        <f>SUMIFS('Plan prihoda za unos u SAP'!$H$3:$H$501,'Plan prihoda za unos u SAP'!$C$3:$C$501,"=563",'Plan prihoda za unos u SAP'!$K$3:$K$501,"=725")</f>
        <v>0</v>
      </c>
      <c r="P74" s="189">
        <f>SUMIFS('Plan prihoda za unos u SAP'!$H$3:$H$501,'Plan prihoda za unos u SAP'!$C$3:$C$501,"=573",'Plan prihoda za unos u SAP'!$K$3:$K$501,"=725")</f>
        <v>0</v>
      </c>
      <c r="Q74" s="189">
        <f>SUMIFS('Plan prihoda za unos u SAP'!$H$3:$H$501,'Plan prihoda za unos u SAP'!$C$3:$C$501,"=575",'Plan prihoda za unos u SAP'!$K$3:$K$501,"=725")</f>
        <v>0</v>
      </c>
      <c r="R74" s="189">
        <f>SUMIFS('Plan prihoda za unos u SAP'!$H$3:$H$501,'Plan prihoda za unos u SAP'!$C$3:$C$501,"=576",'Plan prihoda za unos u SAP'!$K$3:$K$501,"=725")</f>
        <v>0</v>
      </c>
      <c r="S74" s="189">
        <f>SUMIFS('Plan prihoda za unos u SAP'!$H$3:$H$501,'Plan prihoda za unos u SAP'!$C$3:$C$501,"=61",'Plan prihoda za unos u SAP'!$K$3:$K$501,"=725")</f>
        <v>0</v>
      </c>
      <c r="T74" s="189">
        <f>SUMIFS('Plan prihoda za unos u SAP'!$H$3:$H$501,'Plan prihoda za unos u SAP'!$C$3:$C$501,"=63",'Plan prihoda za unos u SAP'!$K$3:$K$501,"=725")</f>
        <v>0</v>
      </c>
      <c r="U74" s="189">
        <f>SUMIFS('Plan prihoda za unos u SAP'!$H$3:$H$501,'Plan prihoda za unos u SAP'!$C$3:$C$501,"=71",'Plan prihoda za unos u SAP'!$K$3:$K$501,"=725")</f>
        <v>0</v>
      </c>
      <c r="V74" s="189">
        <f>SUMIFS('Plan prihoda za unos u SAP'!$H$3:$H$501,'Plan prihoda za unos u SAP'!$C$3:$C$501,"=81",'Plan prihoda za unos u SAP'!$K$3:$K$501,"=725")</f>
        <v>0</v>
      </c>
      <c r="W74" s="189">
        <f>SUMIFS('Plan prihoda za unos u SAP'!$H$3:$H$501,'Plan prihoda za unos u SAP'!$C$3:$C$501,"=83",'Plan prihoda za unos u SAP'!$K$3:$K$501,"=725")</f>
        <v>0</v>
      </c>
    </row>
    <row r="75" spans="1:23" s="90" customFormat="1">
      <c r="A75" s="90">
        <v>2022</v>
      </c>
      <c r="B75" s="98" t="s">
        <v>313</v>
      </c>
      <c r="C75" s="99" t="s">
        <v>306</v>
      </c>
      <c r="D75" s="70">
        <f>SUM(E75:W75)</f>
        <v>0</v>
      </c>
      <c r="E75" s="4">
        <f>SUM(E69:E74)</f>
        <v>0</v>
      </c>
      <c r="F75" s="4">
        <f t="shared" ref="F75:V75" si="18">SUM(F69:F74)</f>
        <v>0</v>
      </c>
      <c r="G75" s="4">
        <f t="shared" si="18"/>
        <v>0</v>
      </c>
      <c r="H75" s="4">
        <f>SUM(H69:H74)</f>
        <v>0</v>
      </c>
      <c r="I75" s="4">
        <f t="shared" si="18"/>
        <v>0</v>
      </c>
      <c r="J75" s="4">
        <f t="shared" si="18"/>
        <v>0</v>
      </c>
      <c r="K75" s="4">
        <f t="shared" si="18"/>
        <v>0</v>
      </c>
      <c r="L75" s="4">
        <f>SUM(L69:L74)</f>
        <v>0</v>
      </c>
      <c r="M75" s="4">
        <f t="shared" si="18"/>
        <v>0</v>
      </c>
      <c r="N75" s="4">
        <f t="shared" si="18"/>
        <v>0</v>
      </c>
      <c r="O75" s="4">
        <f t="shared" si="18"/>
        <v>0</v>
      </c>
      <c r="P75" s="4">
        <f>SUM(P69:P74)</f>
        <v>0</v>
      </c>
      <c r="Q75" s="4">
        <f>SUM(Q69:Q74)</f>
        <v>0</v>
      </c>
      <c r="R75" s="4">
        <f>SUM(R69:R74)</f>
        <v>0</v>
      </c>
      <c r="S75" s="4">
        <f t="shared" si="18"/>
        <v>0</v>
      </c>
      <c r="T75" s="4">
        <f t="shared" si="18"/>
        <v>0</v>
      </c>
      <c r="U75" s="4">
        <f t="shared" si="18"/>
        <v>0</v>
      </c>
      <c r="V75" s="4">
        <f t="shared" si="18"/>
        <v>0</v>
      </c>
      <c r="W75" s="4">
        <f>SUM(W69:W74)</f>
        <v>0</v>
      </c>
    </row>
    <row r="76" spans="1:23" s="90" customFormat="1" ht="25.5">
      <c r="A76" s="90">
        <v>2022</v>
      </c>
      <c r="B76" s="101">
        <v>812</v>
      </c>
      <c r="C76" s="102" t="s">
        <v>314</v>
      </c>
      <c r="D76" s="70">
        <f t="shared" si="12"/>
        <v>0</v>
      </c>
      <c r="E76" s="189">
        <f>SUMIFS('Plan prihoda za unos u SAP'!$H$3:$H$501,'Plan prihoda za unos u SAP'!$C$3:$C$501,"=11",'Plan prihoda za unos u SAP'!$K$3:$K$501,"=812")</f>
        <v>0</v>
      </c>
      <c r="F76" s="189">
        <f>SUMIFS('Plan prihoda za unos u SAP'!$H$3:$H$501,'Plan prihoda za unos u SAP'!$C$3:$C$501,"=12",'Plan prihoda za unos u SAP'!$K$3:$K$501,"=812")</f>
        <v>0</v>
      </c>
      <c r="G76" s="189">
        <f>SUMIFS('Plan prihoda za unos u SAP'!$H$3:$H$501,'Plan prihoda za unos u SAP'!$C$3:$C$501,"=31",'Plan prihoda za unos u SAP'!$K$3:$K$501,"=812")</f>
        <v>0</v>
      </c>
      <c r="H76" s="189">
        <f>SUMIFS('Plan prihoda za unos u SAP'!$H$3:$H$501,'Plan prihoda za unos u SAP'!$C$3:$C$501,"=41",'Plan prihoda za unos u SAP'!$K$3:$K$501,"=812")</f>
        <v>0</v>
      </c>
      <c r="I76" s="189">
        <f>SUMIFS('Plan prihoda za unos u SAP'!$H$3:$H$501,'Plan prihoda za unos u SAP'!$C$3:$C$501,"=43",'Plan prihoda za unos u SAP'!$K$3:$K$501,"=812")</f>
        <v>0</v>
      </c>
      <c r="J76" s="189">
        <f>SUMIFS('Plan prihoda za unos u SAP'!$H$3:$H$501,'Plan prihoda za unos u SAP'!$C$3:$C$501,"=51",'Plan prihoda za unos u SAP'!$K$3:$K$501,"=812")</f>
        <v>0</v>
      </c>
      <c r="K76" s="189">
        <f>SUMIFS('Plan prihoda za unos u SAP'!$H$3:$H$501,'Plan prihoda za unos u SAP'!$C$3:$C$501,"=52",'Plan prihoda za unos u SAP'!$K$3:$K$501,"=812")</f>
        <v>0</v>
      </c>
      <c r="L76" s="189">
        <f>SUMIFS('Plan prihoda za unos u SAP'!$H$3:$H$501,'Plan prihoda za unos u SAP'!$C$3:$C$501,"=552",'Plan prihoda za unos u SAP'!$K$3:$K$501,"=812")</f>
        <v>0</v>
      </c>
      <c r="M76" s="189">
        <f>SUMIFS('Plan prihoda za unos u SAP'!$H$3:$H$501,'Plan prihoda za unos u SAP'!$C$3:$C$501,"=559",'Plan prihoda za unos u SAP'!$K$3:$K$501,"=812")</f>
        <v>0</v>
      </c>
      <c r="N76" s="189">
        <f>SUMIFS('Plan prihoda za unos u SAP'!$H$3:$H$501,'Plan prihoda za unos u SAP'!$C$3:$C$501,"=561",'Plan prihoda za unos u SAP'!$K$3:$K$501,"=812")</f>
        <v>0</v>
      </c>
      <c r="O76" s="189">
        <f>SUMIFS('Plan prihoda za unos u SAP'!$H$3:$H$501,'Plan prihoda za unos u SAP'!$C$3:$C$501,"=563",'Plan prihoda za unos u SAP'!$K$3:$K$501,"=812")</f>
        <v>0</v>
      </c>
      <c r="P76" s="189">
        <f>SUMIFS('Plan prihoda za unos u SAP'!$H$3:$H$501,'Plan prihoda za unos u SAP'!$C$3:$C$501,"=573",'Plan prihoda za unos u SAP'!$K$3:$K$501,"=812")</f>
        <v>0</v>
      </c>
      <c r="Q76" s="189">
        <f>SUMIFS('Plan prihoda za unos u SAP'!$H$3:$H$501,'Plan prihoda za unos u SAP'!$C$3:$C$501,"=575",'Plan prihoda za unos u SAP'!$K$3:$K$501,"=812")</f>
        <v>0</v>
      </c>
      <c r="R76" s="189">
        <f>SUMIFS('Plan prihoda za unos u SAP'!$H$3:$H$501,'Plan prihoda za unos u SAP'!$C$3:$C$501,"=576",'Plan prihoda za unos u SAP'!$K$3:$K$501,"=812")</f>
        <v>0</v>
      </c>
      <c r="S76" s="189">
        <f>SUMIFS('Plan prihoda za unos u SAP'!$H$3:$H$501,'Plan prihoda za unos u SAP'!$C$3:$C$501,"=61",'Plan prihoda za unos u SAP'!$K$3:$K$501,"=812")</f>
        <v>0</v>
      </c>
      <c r="T76" s="189">
        <f>SUMIFS('Plan prihoda za unos u SAP'!$H$3:$H$501,'Plan prihoda za unos u SAP'!$C$3:$C$501,"=63",'Plan prihoda za unos u SAP'!$K$3:$K$501,"=812")</f>
        <v>0</v>
      </c>
      <c r="U76" s="189">
        <f>SUMIFS('Plan prihoda za unos u SAP'!$H$3:$H$501,'Plan prihoda za unos u SAP'!$C$3:$C$501,"=71",'Plan prihoda za unos u SAP'!$K$3:$K$501,"=812")</f>
        <v>0</v>
      </c>
      <c r="V76" s="189">
        <f>SUMIFS('Plan prihoda za unos u SAP'!$H$3:$H$501,'Plan prihoda za unos u SAP'!$C$3:$C$501,"=81",'Plan prihoda za unos u SAP'!$K$3:$K$501,"=812")</f>
        <v>0</v>
      </c>
      <c r="W76" s="189">
        <f>SUMIFS('Plan prihoda za unos u SAP'!$H$3:$H$501,'Plan prihoda za unos u SAP'!$C$3:$C$501,"=83",'Plan prihoda za unos u SAP'!$K$3:$K$501,"=812")</f>
        <v>0</v>
      </c>
    </row>
    <row r="77" spans="1:23" s="90" customFormat="1">
      <c r="A77" s="90">
        <v>2022</v>
      </c>
      <c r="B77" s="101">
        <v>818</v>
      </c>
      <c r="C77" s="102" t="s">
        <v>1567</v>
      </c>
      <c r="D77" s="70">
        <f t="shared" si="12"/>
        <v>0</v>
      </c>
      <c r="E77" s="189">
        <f>SUMIFS('Plan prihoda za unos u SAP'!$H$3:$H$501,'Plan prihoda za unos u SAP'!$C$3:$C$501,"=11",'Plan prihoda za unos u SAP'!$K$3:$K$501,"=818")</f>
        <v>0</v>
      </c>
      <c r="F77" s="189">
        <f>SUMIFS('Plan prihoda za unos u SAP'!$H$3:$H$501,'Plan prihoda za unos u SAP'!$C$3:$C$501,"=12",'Plan prihoda za unos u SAP'!$K$3:$K$501,"=818")</f>
        <v>0</v>
      </c>
      <c r="G77" s="189">
        <f>SUMIFS('Plan prihoda za unos u SAP'!$H$3:$H$501,'Plan prihoda za unos u SAP'!$C$3:$C$501,"=31",'Plan prihoda za unos u SAP'!$K$3:$K$501,"=818")</f>
        <v>0</v>
      </c>
      <c r="H77" s="189">
        <f>SUMIFS('Plan prihoda za unos u SAP'!$H$3:$H$501,'Plan prihoda za unos u SAP'!$C$3:$C$501,"=41",'Plan prihoda za unos u SAP'!$K$3:$K$501,"=818")</f>
        <v>0</v>
      </c>
      <c r="I77" s="189">
        <f>SUMIFS('Plan prihoda za unos u SAP'!$H$3:$H$501,'Plan prihoda za unos u SAP'!$C$3:$C$501,"=43",'Plan prihoda za unos u SAP'!$K$3:$K$501,"=818")</f>
        <v>0</v>
      </c>
      <c r="J77" s="189">
        <f>SUMIFS('Plan prihoda za unos u SAP'!$H$3:$H$501,'Plan prihoda za unos u SAP'!$C$3:$C$501,"=51",'Plan prihoda za unos u SAP'!$K$3:$K$501,"=818")</f>
        <v>0</v>
      </c>
      <c r="K77" s="189">
        <f>SUMIFS('Plan prihoda za unos u SAP'!$H$3:$H$501,'Plan prihoda za unos u SAP'!$C$3:$C$501,"=52",'Plan prihoda za unos u SAP'!$K$3:$K$501,"=818")</f>
        <v>0</v>
      </c>
      <c r="L77" s="189">
        <f>SUMIFS('Plan prihoda za unos u SAP'!$H$3:$H$501,'Plan prihoda za unos u SAP'!$C$3:$C$501,"=552",'Plan prihoda za unos u SAP'!$K$3:$K$501,"=818")</f>
        <v>0</v>
      </c>
      <c r="M77" s="189">
        <f>SUMIFS('Plan prihoda za unos u SAP'!$H$3:$H$501,'Plan prihoda za unos u SAP'!$C$3:$C$501,"=559",'Plan prihoda za unos u SAP'!$K$3:$K$501,"=818")</f>
        <v>0</v>
      </c>
      <c r="N77" s="189">
        <f>SUMIFS('Plan prihoda za unos u SAP'!$H$3:$H$501,'Plan prihoda za unos u SAP'!$C$3:$C$501,"=561",'Plan prihoda za unos u SAP'!$K$3:$K$501,"=818")</f>
        <v>0</v>
      </c>
      <c r="O77" s="189">
        <f>SUMIFS('Plan prihoda za unos u SAP'!$H$3:$H$501,'Plan prihoda za unos u SAP'!$C$3:$C$501,"=563",'Plan prihoda za unos u SAP'!$K$3:$K$501,"=818")</f>
        <v>0</v>
      </c>
      <c r="P77" s="189">
        <f>SUMIFS('Plan prihoda za unos u SAP'!$H$3:$H$501,'Plan prihoda za unos u SAP'!$C$3:$C$501,"=573",'Plan prihoda za unos u SAP'!$K$3:$K$501,"=818")</f>
        <v>0</v>
      </c>
      <c r="Q77" s="189">
        <f>SUMIFS('Plan prihoda za unos u SAP'!$H$3:$H$501,'Plan prihoda za unos u SAP'!$C$3:$C$501,"=575",'Plan prihoda za unos u SAP'!$K$3:$K$501,"=818")</f>
        <v>0</v>
      </c>
      <c r="R77" s="189">
        <f>SUMIFS('Plan prihoda za unos u SAP'!$H$3:$H$501,'Plan prihoda za unos u SAP'!$C$3:$C$501,"=576",'Plan prihoda za unos u SAP'!$K$3:$K$501,"=818")</f>
        <v>0</v>
      </c>
      <c r="S77" s="189">
        <f>SUMIFS('Plan prihoda za unos u SAP'!$H$3:$H$501,'Plan prihoda za unos u SAP'!$C$3:$C$501,"=61",'Plan prihoda za unos u SAP'!$K$3:$K$501,"=818")</f>
        <v>0</v>
      </c>
      <c r="T77" s="189">
        <f>SUMIFS('Plan prihoda za unos u SAP'!$H$3:$H$501,'Plan prihoda za unos u SAP'!$C$3:$C$501,"=63",'Plan prihoda za unos u SAP'!$K$3:$K$501,"=818")</f>
        <v>0</v>
      </c>
      <c r="U77" s="189">
        <f>SUMIFS('Plan prihoda za unos u SAP'!$H$3:$H$501,'Plan prihoda za unos u SAP'!$C$3:$C$501,"=71",'Plan prihoda za unos u SAP'!$K$3:$K$501,"=818")</f>
        <v>0</v>
      </c>
      <c r="V77" s="189">
        <f>SUMIFS('Plan prihoda za unos u SAP'!$H$3:$H$501,'Plan prihoda za unos u SAP'!$C$3:$C$501,"=81",'Plan prihoda za unos u SAP'!$K$3:$K$501,"=818")</f>
        <v>0</v>
      </c>
      <c r="W77" s="189">
        <f>SUMIFS('Plan prihoda za unos u SAP'!$H$3:$H$501,'Plan prihoda za unos u SAP'!$C$3:$C$501,"=83",'Plan prihoda za unos u SAP'!$K$3:$K$501,"=818")</f>
        <v>0</v>
      </c>
    </row>
    <row r="78" spans="1:23" s="90" customFormat="1">
      <c r="A78" s="90">
        <v>2022</v>
      </c>
      <c r="B78" s="101">
        <v>832</v>
      </c>
      <c r="C78" s="102" t="s">
        <v>1568</v>
      </c>
      <c r="D78" s="70">
        <f t="shared" si="12"/>
        <v>0</v>
      </c>
      <c r="E78" s="189">
        <f>SUMIFS('Plan prihoda za unos u SAP'!$H$3:$H$501,'Plan prihoda za unos u SAP'!$C$3:$C$501,"=11",'Plan prihoda za unos u SAP'!$K$3:$K$501,"=832")</f>
        <v>0</v>
      </c>
      <c r="F78" s="189">
        <f>SUMIFS('Plan prihoda za unos u SAP'!$H$3:$H$501,'Plan prihoda za unos u SAP'!$C$3:$C$501,"=12",'Plan prihoda za unos u SAP'!$K$3:$K$501,"=832")</f>
        <v>0</v>
      </c>
      <c r="G78" s="189">
        <f>SUMIFS('Plan prihoda za unos u SAP'!$H$3:$H$501,'Plan prihoda za unos u SAP'!$C$3:$C$501,"=31",'Plan prihoda za unos u SAP'!$K$3:$K$501,"=832")</f>
        <v>0</v>
      </c>
      <c r="H78" s="189">
        <f>SUMIFS('Plan prihoda za unos u SAP'!$H$3:$H$501,'Plan prihoda za unos u SAP'!$C$3:$C$501,"=41",'Plan prihoda za unos u SAP'!$K$3:$K$501,"=832")</f>
        <v>0</v>
      </c>
      <c r="I78" s="189">
        <f>SUMIFS('Plan prihoda za unos u SAP'!$H$3:$H$501,'Plan prihoda za unos u SAP'!$C$3:$C$501,"=43",'Plan prihoda za unos u SAP'!$K$3:$K$501,"=832")</f>
        <v>0</v>
      </c>
      <c r="J78" s="189">
        <f>SUMIFS('Plan prihoda za unos u SAP'!$H$3:$H$501,'Plan prihoda za unos u SAP'!$C$3:$C$501,"=51",'Plan prihoda za unos u SAP'!$K$3:$K$501,"=832")</f>
        <v>0</v>
      </c>
      <c r="K78" s="189">
        <f>SUMIFS('Plan prihoda za unos u SAP'!$H$3:$H$501,'Plan prihoda za unos u SAP'!$C$3:$C$501,"=52",'Plan prihoda za unos u SAP'!$K$3:$K$501,"=832")</f>
        <v>0</v>
      </c>
      <c r="L78" s="189">
        <f>SUMIFS('Plan prihoda za unos u SAP'!$H$3:$H$501,'Plan prihoda za unos u SAP'!$C$3:$C$501,"=552",'Plan prihoda za unos u SAP'!$K$3:$K$501,"=832")</f>
        <v>0</v>
      </c>
      <c r="M78" s="189">
        <f>SUMIFS('Plan prihoda za unos u SAP'!$H$3:$H$501,'Plan prihoda za unos u SAP'!$C$3:$C$501,"=559",'Plan prihoda za unos u SAP'!$K$3:$K$501,"=832")</f>
        <v>0</v>
      </c>
      <c r="N78" s="189">
        <f>SUMIFS('Plan prihoda za unos u SAP'!$H$3:$H$501,'Plan prihoda za unos u SAP'!$C$3:$C$501,"=561",'Plan prihoda za unos u SAP'!$K$3:$K$501,"=832")</f>
        <v>0</v>
      </c>
      <c r="O78" s="189">
        <f>SUMIFS('Plan prihoda za unos u SAP'!$H$3:$H$501,'Plan prihoda za unos u SAP'!$C$3:$C$501,"=563",'Plan prihoda za unos u SAP'!$K$3:$K$501,"=832")</f>
        <v>0</v>
      </c>
      <c r="P78" s="189">
        <f>SUMIFS('Plan prihoda za unos u SAP'!$H$3:$H$501,'Plan prihoda za unos u SAP'!$C$3:$C$501,"=573",'Plan prihoda za unos u SAP'!$K$3:$K$501,"=832")</f>
        <v>0</v>
      </c>
      <c r="Q78" s="189">
        <f>SUMIFS('Plan prihoda za unos u SAP'!$H$3:$H$501,'Plan prihoda za unos u SAP'!$C$3:$C$501,"=575",'Plan prihoda za unos u SAP'!$K$3:$K$501,"=832")</f>
        <v>0</v>
      </c>
      <c r="R78" s="189">
        <f>SUMIFS('Plan prihoda za unos u SAP'!$H$3:$H$501,'Plan prihoda za unos u SAP'!$C$3:$C$501,"=576",'Plan prihoda za unos u SAP'!$K$3:$K$501,"=832")</f>
        <v>0</v>
      </c>
      <c r="S78" s="189">
        <f>SUMIFS('Plan prihoda za unos u SAP'!$H$3:$H$501,'Plan prihoda za unos u SAP'!$C$3:$C$501,"=61",'Plan prihoda za unos u SAP'!$K$3:$K$501,"=832")</f>
        <v>0</v>
      </c>
      <c r="T78" s="189">
        <f>SUMIFS('Plan prihoda za unos u SAP'!$H$3:$H$501,'Plan prihoda za unos u SAP'!$C$3:$C$501,"=63",'Plan prihoda za unos u SAP'!$K$3:$K$501,"=832")</f>
        <v>0</v>
      </c>
      <c r="U78" s="189">
        <f>SUMIFS('Plan prihoda za unos u SAP'!$H$3:$H$501,'Plan prihoda za unos u SAP'!$C$3:$C$501,"=71",'Plan prihoda za unos u SAP'!$K$3:$K$501,"=832")</f>
        <v>0</v>
      </c>
      <c r="V78" s="189">
        <f>SUMIFS('Plan prihoda za unos u SAP'!$H$3:$H$501,'Plan prihoda za unos u SAP'!$C$3:$C$501,"=81",'Plan prihoda za unos u SAP'!$K$3:$K$501,"=832")</f>
        <v>0</v>
      </c>
      <c r="W78" s="189">
        <f>SUMIFS('Plan prihoda za unos u SAP'!$H$3:$H$501,'Plan prihoda za unos u SAP'!$C$3:$C$501,"=83",'Plan prihoda za unos u SAP'!$K$3:$K$501,"=832")</f>
        <v>0</v>
      </c>
    </row>
    <row r="79" spans="1:23" s="90" customFormat="1" ht="25.5">
      <c r="A79" s="90">
        <v>2022</v>
      </c>
      <c r="B79" s="101">
        <v>833</v>
      </c>
      <c r="C79" s="102" t="s">
        <v>2136</v>
      </c>
      <c r="D79" s="70">
        <f t="shared" ref="D79" si="19">SUM(E79:W79)</f>
        <v>0</v>
      </c>
      <c r="E79" s="189">
        <f>SUMIFS('Plan prihoda za unos u SAP'!$H$3:$H$501,'Plan prihoda za unos u SAP'!$C$3:$C$501,"=11",'Plan prihoda za unos u SAP'!$K$3:$K$501,"=833")</f>
        <v>0</v>
      </c>
      <c r="F79" s="189">
        <f>SUMIFS('Plan prihoda za unos u SAP'!$H$3:$H$501,'Plan prihoda za unos u SAP'!$C$3:$C$501,"=12",'Plan prihoda za unos u SAP'!$K$3:$K$501,"=833")</f>
        <v>0</v>
      </c>
      <c r="G79" s="189">
        <f>SUMIFS('Plan prihoda za unos u SAP'!$H$3:$H$501,'Plan prihoda za unos u SAP'!$C$3:$C$501,"=31",'Plan prihoda za unos u SAP'!$K$3:$K$501,"=833")</f>
        <v>0</v>
      </c>
      <c r="H79" s="189">
        <f>SUMIFS('Plan prihoda za unos u SAP'!$H$3:$H$501,'Plan prihoda za unos u SAP'!$C$3:$C$501,"=41",'Plan prihoda za unos u SAP'!$K$3:$K$501,"=833")</f>
        <v>0</v>
      </c>
      <c r="I79" s="189">
        <f>SUMIFS('Plan prihoda za unos u SAP'!$H$3:$H$501,'Plan prihoda za unos u SAP'!$C$3:$C$501,"=43",'Plan prihoda za unos u SAP'!$K$3:$K$501,"=833")</f>
        <v>0</v>
      </c>
      <c r="J79" s="189">
        <f>SUMIFS('Plan prihoda za unos u SAP'!$H$3:$H$501,'Plan prihoda za unos u SAP'!$C$3:$C$501,"=51",'Plan prihoda za unos u SAP'!$K$3:$K$501,"=833")</f>
        <v>0</v>
      </c>
      <c r="K79" s="189">
        <f>SUMIFS('Plan prihoda za unos u SAP'!$H$3:$H$501,'Plan prihoda za unos u SAP'!$C$3:$C$501,"=52",'Plan prihoda za unos u SAP'!$K$3:$K$501,"=833")</f>
        <v>0</v>
      </c>
      <c r="L79" s="189">
        <f>SUMIFS('Plan prihoda za unos u SAP'!$H$3:$H$501,'Plan prihoda za unos u SAP'!$C$3:$C$501,"=552",'Plan prihoda za unos u SAP'!$K$3:$K$501,"=833")</f>
        <v>0</v>
      </c>
      <c r="M79" s="189">
        <f>SUMIFS('Plan prihoda za unos u SAP'!$H$3:$H$501,'Plan prihoda za unos u SAP'!$C$3:$C$501,"=559",'Plan prihoda za unos u SAP'!$K$3:$K$501,"=833")</f>
        <v>0</v>
      </c>
      <c r="N79" s="189">
        <f>SUMIFS('Plan prihoda za unos u SAP'!$H$3:$H$501,'Plan prihoda za unos u SAP'!$C$3:$C$501,"=561",'Plan prihoda za unos u SAP'!$K$3:$K$501,"=833")</f>
        <v>0</v>
      </c>
      <c r="O79" s="189">
        <f>SUMIFS('Plan prihoda za unos u SAP'!$H$3:$H$501,'Plan prihoda za unos u SAP'!$C$3:$C$501,"=563",'Plan prihoda za unos u SAP'!$K$3:$K$501,"=833")</f>
        <v>0</v>
      </c>
      <c r="P79" s="189">
        <f>SUMIFS('Plan prihoda za unos u SAP'!$H$3:$H$501,'Plan prihoda za unos u SAP'!$C$3:$C$501,"=573",'Plan prihoda za unos u SAP'!$K$3:$K$501,"=833")</f>
        <v>0</v>
      </c>
      <c r="Q79" s="189">
        <f>SUMIFS('Plan prihoda za unos u SAP'!$H$3:$H$501,'Plan prihoda za unos u SAP'!$C$3:$C$501,"=575",'Plan prihoda za unos u SAP'!$K$3:$K$501,"=833")</f>
        <v>0</v>
      </c>
      <c r="R79" s="189">
        <f>SUMIFS('Plan prihoda za unos u SAP'!$H$3:$H$501,'Plan prihoda za unos u SAP'!$C$3:$C$501,"=576",'Plan prihoda za unos u SAP'!$K$3:$K$501,"=833")</f>
        <v>0</v>
      </c>
      <c r="S79" s="189">
        <f>SUMIFS('Plan prihoda za unos u SAP'!$H$3:$H$501,'Plan prihoda za unos u SAP'!$C$3:$C$501,"=61",'Plan prihoda za unos u SAP'!$K$3:$K$501,"=833")</f>
        <v>0</v>
      </c>
      <c r="T79" s="189">
        <f>SUMIFS('Plan prihoda za unos u SAP'!$H$3:$H$501,'Plan prihoda za unos u SAP'!$C$3:$C$501,"=63",'Plan prihoda za unos u SAP'!$K$3:$K$501,"=833")</f>
        <v>0</v>
      </c>
      <c r="U79" s="189">
        <f>SUMIFS('Plan prihoda za unos u SAP'!$H$3:$H$501,'Plan prihoda za unos u SAP'!$C$3:$C$501,"=71",'Plan prihoda za unos u SAP'!$K$3:$K$501,"=833")</f>
        <v>0</v>
      </c>
      <c r="V79" s="189">
        <f>SUMIFS('Plan prihoda za unos u SAP'!$H$3:$H$501,'Plan prihoda za unos u SAP'!$C$3:$C$501,"=81",'Plan prihoda za unos u SAP'!$K$3:$K$501,"=833")</f>
        <v>0</v>
      </c>
      <c r="W79" s="189">
        <f>SUMIFS('Plan prihoda za unos u SAP'!$H$3:$H$501,'Plan prihoda za unos u SAP'!$C$3:$C$501,"=83",'Plan prihoda za unos u SAP'!$K$3:$K$501,"=833")</f>
        <v>0</v>
      </c>
    </row>
    <row r="80" spans="1:23" s="90" customFormat="1" ht="25.5">
      <c r="A80" s="90">
        <v>2022</v>
      </c>
      <c r="B80" s="101">
        <v>841</v>
      </c>
      <c r="C80" s="102" t="s">
        <v>1569</v>
      </c>
      <c r="D80" s="70">
        <f t="shared" si="12"/>
        <v>0</v>
      </c>
      <c r="E80" s="189">
        <f>SUMIFS('Plan prihoda za unos u SAP'!$H$3:$H$501,'Plan prihoda za unos u SAP'!$C$3:$C$501,"=11",'Plan prihoda za unos u SAP'!$K$3:$K$501,"=841")</f>
        <v>0</v>
      </c>
      <c r="F80" s="189">
        <f>SUMIFS('Plan prihoda za unos u SAP'!$H$3:$H$501,'Plan prihoda za unos u SAP'!$C$3:$C$501,"=12",'Plan prihoda za unos u SAP'!$K$3:$K$501,"=841")</f>
        <v>0</v>
      </c>
      <c r="G80" s="189">
        <f>SUMIFS('Plan prihoda za unos u SAP'!$H$3:$H$501,'Plan prihoda za unos u SAP'!$C$3:$C$501,"=31",'Plan prihoda za unos u SAP'!$K$3:$K$501,"=841")</f>
        <v>0</v>
      </c>
      <c r="H80" s="189">
        <f>SUMIFS('Plan prihoda za unos u SAP'!$H$3:$H$501,'Plan prihoda za unos u SAP'!$C$3:$C$501,"=41",'Plan prihoda za unos u SAP'!$K$3:$K$501,"=841")</f>
        <v>0</v>
      </c>
      <c r="I80" s="189">
        <f>SUMIFS('Plan prihoda za unos u SAP'!$H$3:$H$501,'Plan prihoda za unos u SAP'!$C$3:$C$501,"=43",'Plan prihoda za unos u SAP'!$K$3:$K$501,"=841")</f>
        <v>0</v>
      </c>
      <c r="J80" s="189">
        <f>SUMIFS('Plan prihoda za unos u SAP'!$H$3:$H$501,'Plan prihoda za unos u SAP'!$C$3:$C$501,"=51",'Plan prihoda za unos u SAP'!$K$3:$K$501,"=841")</f>
        <v>0</v>
      </c>
      <c r="K80" s="189">
        <f>SUMIFS('Plan prihoda za unos u SAP'!$H$3:$H$501,'Plan prihoda za unos u SAP'!$C$3:$C$501,"=52",'Plan prihoda za unos u SAP'!$K$3:$K$501,"=841")</f>
        <v>0</v>
      </c>
      <c r="L80" s="189">
        <f>SUMIFS('Plan prihoda za unos u SAP'!$H$3:$H$501,'Plan prihoda za unos u SAP'!$C$3:$C$501,"=552",'Plan prihoda za unos u SAP'!$K$3:$K$501,"=841")</f>
        <v>0</v>
      </c>
      <c r="M80" s="189">
        <f>SUMIFS('Plan prihoda za unos u SAP'!$H$3:$H$501,'Plan prihoda za unos u SAP'!$C$3:$C$501,"=559",'Plan prihoda za unos u SAP'!$K$3:$K$501,"=841")</f>
        <v>0</v>
      </c>
      <c r="N80" s="189">
        <f>SUMIFS('Plan prihoda za unos u SAP'!$H$3:$H$501,'Plan prihoda za unos u SAP'!$C$3:$C$501,"=561",'Plan prihoda za unos u SAP'!$K$3:$K$501,"=841")</f>
        <v>0</v>
      </c>
      <c r="O80" s="189">
        <f>SUMIFS('Plan prihoda za unos u SAP'!$H$3:$H$501,'Plan prihoda za unos u SAP'!$C$3:$C$501,"=563",'Plan prihoda za unos u SAP'!$K$3:$K$501,"=841")</f>
        <v>0</v>
      </c>
      <c r="P80" s="189">
        <f>SUMIFS('Plan prihoda za unos u SAP'!$H$3:$H$501,'Plan prihoda za unos u SAP'!$C$3:$C$501,"=573",'Plan prihoda za unos u SAP'!$K$3:$K$501,"=841")</f>
        <v>0</v>
      </c>
      <c r="Q80" s="189">
        <f>SUMIFS('Plan prihoda za unos u SAP'!$H$3:$H$501,'Plan prihoda za unos u SAP'!$C$3:$C$501,"=575",'Plan prihoda za unos u SAP'!$K$3:$K$501,"=841")</f>
        <v>0</v>
      </c>
      <c r="R80" s="189">
        <f>SUMIFS('Plan prihoda za unos u SAP'!$H$3:$H$501,'Plan prihoda za unos u SAP'!$C$3:$C$501,"=576",'Plan prihoda za unos u SAP'!$K$3:$K$501,"=841")</f>
        <v>0</v>
      </c>
      <c r="S80" s="189">
        <f>SUMIFS('Plan prihoda za unos u SAP'!$H$3:$H$501,'Plan prihoda za unos u SAP'!$C$3:$C$501,"=61",'Plan prihoda za unos u SAP'!$K$3:$K$501,"=841")</f>
        <v>0</v>
      </c>
      <c r="T80" s="189">
        <f>SUMIFS('Plan prihoda za unos u SAP'!$H$3:$H$501,'Plan prihoda za unos u SAP'!$C$3:$C$501,"=63",'Plan prihoda za unos u SAP'!$K$3:$K$501,"=841")</f>
        <v>0</v>
      </c>
      <c r="U80" s="189">
        <f>SUMIFS('Plan prihoda za unos u SAP'!$H$3:$H$501,'Plan prihoda za unos u SAP'!$C$3:$C$501,"=71",'Plan prihoda za unos u SAP'!$K$3:$K$501,"=841")</f>
        <v>0</v>
      </c>
      <c r="V80" s="189">
        <f>SUMIFS('Plan prihoda za unos u SAP'!$H$3:$H$501,'Plan prihoda za unos u SAP'!$C$3:$C$501,"=81",'Plan prihoda za unos u SAP'!$K$3:$K$501,"=841")</f>
        <v>0</v>
      </c>
      <c r="W80" s="189">
        <f>SUMIFS('Plan prihoda za unos u SAP'!$H$3:$H$501,'Plan prihoda za unos u SAP'!$C$3:$C$501,"=83",'Plan prihoda za unos u SAP'!$K$3:$K$501,"=841")</f>
        <v>0</v>
      </c>
    </row>
    <row r="81" spans="1:29" s="90" customFormat="1" ht="25.5">
      <c r="A81" s="90">
        <v>2022</v>
      </c>
      <c r="B81" s="101">
        <v>842</v>
      </c>
      <c r="C81" s="102" t="s">
        <v>324</v>
      </c>
      <c r="D81" s="70">
        <f>SUM(E81:W81)</f>
        <v>0</v>
      </c>
      <c r="E81" s="188">
        <f>SUMIFS('Plan prihoda za unos u SAP'!$H$3:$H$501,'Plan prihoda za unos u SAP'!$C$3:$C$501,"=11",'Plan prihoda za unos u SAP'!$K$3:$K$501,"=842")</f>
        <v>0</v>
      </c>
      <c r="F81" s="188">
        <f>SUMIFS('Plan prihoda za unos u SAP'!$H$3:$H$501,'Plan prihoda za unos u SAP'!$C$3:$C$501,"=12",'Plan prihoda za unos u SAP'!$K$3:$K$501,"=842")</f>
        <v>0</v>
      </c>
      <c r="G81" s="188">
        <f>SUMIFS('Plan prihoda za unos u SAP'!$H$3:$H$501,'Plan prihoda za unos u SAP'!$C$3:$C$501,"=31",'Plan prihoda za unos u SAP'!$K$3:$K$501,"=842")</f>
        <v>0</v>
      </c>
      <c r="H81" s="188">
        <f>SUMIFS('Plan prihoda za unos u SAP'!$H$3:$H$501,'Plan prihoda za unos u SAP'!$C$3:$C$501,"=41",'Plan prihoda za unos u SAP'!$K$3:$K$501,"=842")</f>
        <v>0</v>
      </c>
      <c r="I81" s="188">
        <f>SUMIFS('Plan prihoda za unos u SAP'!$H$3:$H$501,'Plan prihoda za unos u SAP'!$C$3:$C$501,"=43",'Plan prihoda za unos u SAP'!$K$3:$K$501,"=842")</f>
        <v>0</v>
      </c>
      <c r="J81" s="188">
        <f>SUMIFS('Plan prihoda za unos u SAP'!$H$3:$H$501,'Plan prihoda za unos u SAP'!$C$3:$C$501,"=51",'Plan prihoda za unos u SAP'!$K$3:$K$501,"=842")</f>
        <v>0</v>
      </c>
      <c r="K81" s="188">
        <f>SUMIFS('Plan prihoda za unos u SAP'!$H$3:$H$501,'Plan prihoda za unos u SAP'!$C$3:$C$501,"=52",'Plan prihoda za unos u SAP'!$K$3:$K$501,"=842")</f>
        <v>0</v>
      </c>
      <c r="L81" s="188">
        <f>SUMIFS('Plan prihoda za unos u SAP'!$H$3:$H$501,'Plan prihoda za unos u SAP'!$C$3:$C$501,"=552",'Plan prihoda za unos u SAP'!$K$3:$K$501,"=842")</f>
        <v>0</v>
      </c>
      <c r="M81" s="188">
        <f>SUMIFS('Plan prihoda za unos u SAP'!$H$3:$H$501,'Plan prihoda za unos u SAP'!$C$3:$C$501,"=559",'Plan prihoda za unos u SAP'!$K$3:$K$501,"=842")</f>
        <v>0</v>
      </c>
      <c r="N81" s="188">
        <f>SUMIFS('Plan prihoda za unos u SAP'!$H$3:$H$501,'Plan prihoda za unos u SAP'!$C$3:$C$501,"=561",'Plan prihoda za unos u SAP'!$K$3:$K$501,"=842")</f>
        <v>0</v>
      </c>
      <c r="O81" s="188">
        <f>SUMIFS('Plan prihoda za unos u SAP'!$H$3:$H$501,'Plan prihoda za unos u SAP'!$C$3:$C$501,"=563",'Plan prihoda za unos u SAP'!$K$3:$K$501,"=842")</f>
        <v>0</v>
      </c>
      <c r="P81" s="188">
        <f>SUMIFS('Plan prihoda za unos u SAP'!$H$3:$H$501,'Plan prihoda za unos u SAP'!$C$3:$C$501,"=573",'Plan prihoda za unos u SAP'!$K$3:$K$501,"=842")</f>
        <v>0</v>
      </c>
      <c r="Q81" s="188">
        <f>SUMIFS('Plan prihoda za unos u SAP'!$H$3:$H$501,'Plan prihoda za unos u SAP'!$C$3:$C$501,"=575",'Plan prihoda za unos u SAP'!$K$3:$K$501,"=842")</f>
        <v>0</v>
      </c>
      <c r="R81" s="188">
        <f>SUMIFS('Plan prihoda za unos u SAP'!$H$3:$H$501,'Plan prihoda za unos u SAP'!$C$3:$C$501,"=576",'Plan prihoda za unos u SAP'!$K$3:$K$501,"=842")</f>
        <v>0</v>
      </c>
      <c r="S81" s="188">
        <f>SUMIFS('Plan prihoda za unos u SAP'!$H$3:$H$501,'Plan prihoda za unos u SAP'!$C$3:$C$501,"=61",'Plan prihoda za unos u SAP'!$K$3:$K$501,"=842")</f>
        <v>0</v>
      </c>
      <c r="T81" s="188">
        <f>SUMIFS('Plan prihoda za unos u SAP'!$H$3:$H$501,'Plan prihoda za unos u SAP'!$C$3:$C$501,"=63",'Plan prihoda za unos u SAP'!$K$3:$K$501,"=842")</f>
        <v>0</v>
      </c>
      <c r="U81" s="188">
        <f>SUMIFS('Plan prihoda za unos u SAP'!$H$3:$H$501,'Plan prihoda za unos u SAP'!$C$3:$C$501,"=71",'Plan prihoda za unos u SAP'!$K$3:$K$501,"=842")</f>
        <v>0</v>
      </c>
      <c r="V81" s="188">
        <f>SUMIFS('Plan prihoda za unos u SAP'!$H$3:$H$501,'Plan prihoda za unos u SAP'!$C$3:$C$501,"=81",'Plan prihoda za unos u SAP'!$K$3:$K$501,"=842")</f>
        <v>0</v>
      </c>
      <c r="W81" s="188">
        <f>SUMIFS('Plan prihoda za unos u SAP'!$H$3:$H$501,'Plan prihoda za unos u SAP'!$C$3:$C$501,"=83",'Plan prihoda za unos u SAP'!$K$3:$K$501,"=842")</f>
        <v>0</v>
      </c>
    </row>
    <row r="82" spans="1:29" s="90" customFormat="1">
      <c r="A82" s="90">
        <v>2022</v>
      </c>
      <c r="B82" s="98" t="s">
        <v>315</v>
      </c>
      <c r="C82" s="99" t="s">
        <v>306</v>
      </c>
      <c r="D82" s="70">
        <f>SUM(E82:W82)</f>
        <v>0</v>
      </c>
      <c r="E82" s="4">
        <f>SUM(E76:E81)</f>
        <v>0</v>
      </c>
      <c r="F82" s="4">
        <f>SUM(F76:F81)</f>
        <v>0</v>
      </c>
      <c r="G82" s="4">
        <f t="shared" ref="G82:V82" si="20">SUM(G76:G81)</f>
        <v>0</v>
      </c>
      <c r="H82" s="4">
        <f>SUM(H76:H81)</f>
        <v>0</v>
      </c>
      <c r="I82" s="4">
        <f t="shared" si="20"/>
        <v>0</v>
      </c>
      <c r="J82" s="4">
        <f>SUM(J76:J81)</f>
        <v>0</v>
      </c>
      <c r="K82" s="4">
        <f t="shared" si="20"/>
        <v>0</v>
      </c>
      <c r="L82" s="4">
        <f>SUM(L76:L81)</f>
        <v>0</v>
      </c>
      <c r="M82" s="4">
        <f t="shared" si="20"/>
        <v>0</v>
      </c>
      <c r="N82" s="4">
        <f t="shared" si="20"/>
        <v>0</v>
      </c>
      <c r="O82" s="4">
        <f>SUM(O76:O81)</f>
        <v>0</v>
      </c>
      <c r="P82" s="4">
        <f>SUM(P76:P81)</f>
        <v>0</v>
      </c>
      <c r="Q82" s="4">
        <f>SUM(Q76:Q81)</f>
        <v>0</v>
      </c>
      <c r="R82" s="4">
        <f>SUM(R76:R81)</f>
        <v>0</v>
      </c>
      <c r="S82" s="4">
        <f t="shared" si="20"/>
        <v>0</v>
      </c>
      <c r="T82" s="4">
        <f t="shared" si="20"/>
        <v>0</v>
      </c>
      <c r="U82" s="4">
        <f t="shared" si="20"/>
        <v>0</v>
      </c>
      <c r="V82" s="4">
        <f t="shared" si="20"/>
        <v>0</v>
      </c>
      <c r="W82" s="4">
        <f>SUM(W76:W81)</f>
        <v>0</v>
      </c>
    </row>
    <row r="83" spans="1:29" s="90" customFormat="1">
      <c r="A83" s="90">
        <v>2022</v>
      </c>
      <c r="B83" s="296" t="s">
        <v>316</v>
      </c>
      <c r="C83" s="296"/>
      <c r="D83" s="71">
        <f>SUM(E83:W83)</f>
        <v>8522977</v>
      </c>
      <c r="E83" s="71">
        <f t="shared" ref="E83:V83" si="21">+E82+E75+E68</f>
        <v>7940627</v>
      </c>
      <c r="F83" s="71">
        <f t="shared" si="21"/>
        <v>0</v>
      </c>
      <c r="G83" s="71">
        <f t="shared" si="21"/>
        <v>77100</v>
      </c>
      <c r="H83" s="71">
        <f>+H82+H75+H68</f>
        <v>0</v>
      </c>
      <c r="I83" s="71">
        <f t="shared" si="21"/>
        <v>485250</v>
      </c>
      <c r="J83" s="71">
        <f t="shared" si="21"/>
        <v>0</v>
      </c>
      <c r="K83" s="71">
        <f t="shared" si="21"/>
        <v>20000</v>
      </c>
      <c r="L83" s="71">
        <f>+L82+L75+L68</f>
        <v>0</v>
      </c>
      <c r="M83" s="71">
        <f>+M82+M75+M68</f>
        <v>0</v>
      </c>
      <c r="N83" s="71">
        <f t="shared" si="21"/>
        <v>0</v>
      </c>
      <c r="O83" s="71">
        <f t="shared" si="21"/>
        <v>0</v>
      </c>
      <c r="P83" s="71">
        <f>+P82+P75+P68</f>
        <v>0</v>
      </c>
      <c r="Q83" s="71">
        <f>+Q82+Q75+Q68</f>
        <v>0</v>
      </c>
      <c r="R83" s="71">
        <f>+R82+R75+R68</f>
        <v>0</v>
      </c>
      <c r="S83" s="71">
        <f t="shared" si="21"/>
        <v>0</v>
      </c>
      <c r="T83" s="71">
        <f t="shared" si="21"/>
        <v>0</v>
      </c>
      <c r="U83" s="71">
        <f t="shared" si="21"/>
        <v>0</v>
      </c>
      <c r="V83" s="71">
        <f t="shared" si="21"/>
        <v>0</v>
      </c>
      <c r="W83" s="71">
        <f>+W82+W75+W68</f>
        <v>0</v>
      </c>
    </row>
    <row r="84" spans="1:29">
      <c r="B84" s="62"/>
      <c r="C84" s="62"/>
      <c r="D84" s="62"/>
      <c r="E84" s="62"/>
      <c r="F84" s="62"/>
      <c r="G84" s="62"/>
      <c r="H84" s="62"/>
      <c r="I84" s="103"/>
      <c r="J84" s="104"/>
      <c r="K84" s="104"/>
      <c r="L84" s="104"/>
      <c r="M84" s="104"/>
      <c r="N84" s="104"/>
      <c r="O84" s="104"/>
      <c r="P84" s="104"/>
      <c r="Q84" s="104"/>
      <c r="R84" s="104"/>
      <c r="V84" s="91"/>
      <c r="W84" s="91"/>
    </row>
    <row r="85" spans="1:29" s="90" customFormat="1" ht="15.75">
      <c r="B85" s="291" t="s">
        <v>269</v>
      </c>
      <c r="C85" s="292"/>
      <c r="D85" s="293" t="s">
        <v>2145</v>
      </c>
      <c r="E85" s="294"/>
      <c r="F85" s="294"/>
      <c r="G85" s="294"/>
      <c r="H85" s="294"/>
      <c r="I85" s="294"/>
      <c r="J85" s="294"/>
      <c r="K85" s="294"/>
      <c r="L85" s="294"/>
      <c r="M85" s="294"/>
      <c r="N85" s="294"/>
      <c r="O85" s="294"/>
      <c r="P85" s="294"/>
      <c r="Q85" s="294"/>
      <c r="R85" s="294"/>
      <c r="S85" s="294"/>
      <c r="T85" s="294"/>
      <c r="U85" s="294"/>
      <c r="V85" s="295"/>
      <c r="W85" s="218"/>
    </row>
    <row r="86" spans="1:29" s="90" customFormat="1" ht="89.25">
      <c r="A86" s="92" t="s">
        <v>2139</v>
      </c>
      <c r="B86" s="92" t="s">
        <v>270</v>
      </c>
      <c r="C86" s="92" t="s">
        <v>271</v>
      </c>
      <c r="D86" s="184" t="s">
        <v>272</v>
      </c>
      <c r="E86" s="135" t="s">
        <v>353</v>
      </c>
      <c r="F86" s="135" t="s">
        <v>325</v>
      </c>
      <c r="G86" s="93" t="s">
        <v>19</v>
      </c>
      <c r="H86" s="93" t="s">
        <v>1560</v>
      </c>
      <c r="I86" s="93" t="s">
        <v>20</v>
      </c>
      <c r="J86" s="93" t="s">
        <v>273</v>
      </c>
      <c r="K86" s="93" t="s">
        <v>274</v>
      </c>
      <c r="L86" s="93" t="s">
        <v>1561</v>
      </c>
      <c r="M86" s="93" t="s">
        <v>275</v>
      </c>
      <c r="N86" s="134" t="s">
        <v>276</v>
      </c>
      <c r="O86" s="134" t="s">
        <v>277</v>
      </c>
      <c r="P86" s="134" t="s">
        <v>1562</v>
      </c>
      <c r="Q86" s="134" t="s">
        <v>1563</v>
      </c>
      <c r="R86" s="93" t="s">
        <v>2133</v>
      </c>
      <c r="S86" s="93" t="s">
        <v>278</v>
      </c>
      <c r="T86" s="93" t="s">
        <v>279</v>
      </c>
      <c r="U86" s="93" t="s">
        <v>317</v>
      </c>
      <c r="V86" s="93" t="s">
        <v>1533</v>
      </c>
      <c r="W86" s="93"/>
    </row>
    <row r="87" spans="1:29" s="90" customFormat="1">
      <c r="A87" s="90">
        <v>2023</v>
      </c>
      <c r="B87" s="95"/>
      <c r="C87" s="96" t="s">
        <v>11</v>
      </c>
      <c r="D87" s="70">
        <f>SUM(E87:W87)</f>
        <v>1083000</v>
      </c>
      <c r="E87" s="188">
        <f t="shared" ref="E87:V87" si="22">-E48</f>
        <v>0</v>
      </c>
      <c r="F87" s="188">
        <f t="shared" si="22"/>
        <v>0</v>
      </c>
      <c r="G87" s="188">
        <f t="shared" si="22"/>
        <v>0</v>
      </c>
      <c r="H87" s="188">
        <f>-H48</f>
        <v>0</v>
      </c>
      <c r="I87" s="188">
        <f t="shared" si="22"/>
        <v>1083000</v>
      </c>
      <c r="J87" s="188">
        <f t="shared" si="22"/>
        <v>0</v>
      </c>
      <c r="K87" s="188">
        <f t="shared" si="22"/>
        <v>0</v>
      </c>
      <c r="L87" s="188">
        <f>-L48</f>
        <v>0</v>
      </c>
      <c r="M87" s="188">
        <f t="shared" si="22"/>
        <v>0</v>
      </c>
      <c r="N87" s="188">
        <f t="shared" si="22"/>
        <v>0</v>
      </c>
      <c r="O87" s="188">
        <f t="shared" si="22"/>
        <v>0</v>
      </c>
      <c r="P87" s="188">
        <f>-P48</f>
        <v>0</v>
      </c>
      <c r="Q87" s="188">
        <f>-Q48</f>
        <v>0</v>
      </c>
      <c r="R87" s="188">
        <f>-R48</f>
        <v>0</v>
      </c>
      <c r="S87" s="188">
        <f t="shared" si="22"/>
        <v>0</v>
      </c>
      <c r="T87" s="188">
        <f t="shared" si="22"/>
        <v>0</v>
      </c>
      <c r="U87" s="188">
        <f t="shared" si="22"/>
        <v>0</v>
      </c>
      <c r="V87" s="188">
        <f t="shared" si="22"/>
        <v>0</v>
      </c>
      <c r="W87" s="188">
        <f>-W48</f>
        <v>0</v>
      </c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349</v>
      </c>
      <c r="D88" s="70">
        <f t="shared" ref="D88:D123" si="23">SUM(E88:W88)</f>
        <v>8578153</v>
      </c>
      <c r="E88" s="14">
        <f t="shared" ref="E88:V88" si="24">+E109+E116</f>
        <v>7978703</v>
      </c>
      <c r="F88" s="14">
        <f t="shared" si="24"/>
        <v>0</v>
      </c>
      <c r="G88" s="14">
        <f t="shared" si="24"/>
        <v>83100</v>
      </c>
      <c r="H88" s="14">
        <f>+H109+H116</f>
        <v>0</v>
      </c>
      <c r="I88" s="14">
        <f t="shared" si="24"/>
        <v>496350</v>
      </c>
      <c r="J88" s="14">
        <f t="shared" si="24"/>
        <v>0</v>
      </c>
      <c r="K88" s="14">
        <f t="shared" si="24"/>
        <v>20000</v>
      </c>
      <c r="L88" s="14">
        <f>+L109+L116</f>
        <v>0</v>
      </c>
      <c r="M88" s="14">
        <f t="shared" si="24"/>
        <v>0</v>
      </c>
      <c r="N88" s="14">
        <f t="shared" si="24"/>
        <v>0</v>
      </c>
      <c r="O88" s="14">
        <f t="shared" si="24"/>
        <v>0</v>
      </c>
      <c r="P88" s="14">
        <f>+P109+P116</f>
        <v>0</v>
      </c>
      <c r="Q88" s="14">
        <f>+Q109+Q116</f>
        <v>0</v>
      </c>
      <c r="R88" s="14">
        <f>+R109+R116</f>
        <v>0</v>
      </c>
      <c r="S88" s="14">
        <f t="shared" si="24"/>
        <v>0</v>
      </c>
      <c r="T88" s="14">
        <f t="shared" si="24"/>
        <v>0</v>
      </c>
      <c r="U88" s="14">
        <f t="shared" si="24"/>
        <v>0</v>
      </c>
      <c r="V88" s="14">
        <f t="shared" si="24"/>
        <v>0</v>
      </c>
      <c r="W88" s="14">
        <f>+W109+W116</f>
        <v>0</v>
      </c>
    </row>
    <row r="89" spans="1:29" s="90" customFormat="1">
      <c r="A89" s="90">
        <v>2023</v>
      </c>
      <c r="B89" s="95"/>
      <c r="C89" s="96" t="s">
        <v>352</v>
      </c>
      <c r="D89" s="70">
        <f t="shared" si="23"/>
        <v>-1178000</v>
      </c>
      <c r="E89" s="113"/>
      <c r="F89" s="113"/>
      <c r="G89" s="113"/>
      <c r="H89" s="113"/>
      <c r="I89" s="113">
        <v>-1178000</v>
      </c>
      <c r="J89" s="113"/>
      <c r="K89" s="113"/>
      <c r="L89" s="113"/>
      <c r="M89" s="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94"/>
      <c r="Y89" s="94"/>
      <c r="Z89" s="94"/>
      <c r="AA89" s="94"/>
      <c r="AB89" s="94"/>
      <c r="AC89" s="94"/>
    </row>
    <row r="90" spans="1:29" s="90" customFormat="1">
      <c r="A90" s="90">
        <v>2023</v>
      </c>
      <c r="B90" s="114"/>
      <c r="C90" s="115" t="s">
        <v>280</v>
      </c>
      <c r="D90" s="70">
        <f t="shared" si="23"/>
        <v>8483153</v>
      </c>
      <c r="E90" s="14">
        <f>+E87+E88+E89</f>
        <v>7978703</v>
      </c>
      <c r="F90" s="14">
        <f t="shared" ref="F90:V90" si="25">+F87+F88+F89</f>
        <v>0</v>
      </c>
      <c r="G90" s="14">
        <f t="shared" si="25"/>
        <v>83100</v>
      </c>
      <c r="H90" s="14">
        <f>+H87+H88+H89</f>
        <v>0</v>
      </c>
      <c r="I90" s="14">
        <f t="shared" si="25"/>
        <v>401350</v>
      </c>
      <c r="J90" s="14">
        <f t="shared" si="25"/>
        <v>0</v>
      </c>
      <c r="K90" s="14">
        <f t="shared" si="25"/>
        <v>20000</v>
      </c>
      <c r="L90" s="14">
        <f>+L87+L88+L89</f>
        <v>0</v>
      </c>
      <c r="M90" s="14">
        <f t="shared" si="25"/>
        <v>0</v>
      </c>
      <c r="N90" s="14">
        <f t="shared" si="25"/>
        <v>0</v>
      </c>
      <c r="O90" s="14">
        <f t="shared" si="25"/>
        <v>0</v>
      </c>
      <c r="P90" s="14">
        <f>+P87+P88+P89</f>
        <v>0</v>
      </c>
      <c r="Q90" s="14">
        <f>+Q87+Q88+Q89</f>
        <v>0</v>
      </c>
      <c r="R90" s="14">
        <f>+R87+R88+R89</f>
        <v>0</v>
      </c>
      <c r="S90" s="14">
        <f t="shared" si="25"/>
        <v>0</v>
      </c>
      <c r="T90" s="14">
        <f t="shared" si="25"/>
        <v>0</v>
      </c>
      <c r="U90" s="14">
        <f t="shared" si="25"/>
        <v>0</v>
      </c>
      <c r="V90" s="14">
        <f t="shared" si="25"/>
        <v>0</v>
      </c>
      <c r="W90" s="14">
        <f>+W87+W88+W89</f>
        <v>0</v>
      </c>
    </row>
    <row r="91" spans="1:29" s="90" customFormat="1">
      <c r="A91" s="90">
        <v>2023</v>
      </c>
      <c r="B91" s="111"/>
      <c r="C91" s="112" t="s">
        <v>235</v>
      </c>
      <c r="D91" s="70">
        <f t="shared" si="23"/>
        <v>8483153</v>
      </c>
      <c r="E91" s="136">
        <f>+'PLAN RASHODA I IZDATAKA'!E91</f>
        <v>7978703</v>
      </c>
      <c r="F91" s="136">
        <f>+'PLAN RASHODA I IZDATAKA'!F91</f>
        <v>0</v>
      </c>
      <c r="G91" s="136">
        <f>+'PLAN RASHODA I IZDATAKA'!G91</f>
        <v>83100</v>
      </c>
      <c r="H91" s="136">
        <f>+'PLAN RASHODA I IZDATAKA'!H91</f>
        <v>0</v>
      </c>
      <c r="I91" s="136">
        <f>+'PLAN RASHODA I IZDATAKA'!I91</f>
        <v>401350</v>
      </c>
      <c r="J91" s="136">
        <f>+'PLAN RASHODA I IZDATAKA'!J91</f>
        <v>0</v>
      </c>
      <c r="K91" s="136">
        <f>+'PLAN RASHODA I IZDATAKA'!K91</f>
        <v>20000</v>
      </c>
      <c r="L91" s="136">
        <f>+'PLAN RASHODA I IZDATAKA'!L91</f>
        <v>0</v>
      </c>
      <c r="M91" s="136">
        <f>+'PLAN RASHODA I IZDATAKA'!M91</f>
        <v>0</v>
      </c>
      <c r="N91" s="136">
        <f>+'PLAN RASHODA I IZDATAKA'!N91</f>
        <v>0</v>
      </c>
      <c r="O91" s="136">
        <f>+'PLAN RASHODA I IZDATAKA'!O91</f>
        <v>0</v>
      </c>
      <c r="P91" s="136">
        <f>+'PLAN RASHODA I IZDATAKA'!P91</f>
        <v>0</v>
      </c>
      <c r="Q91" s="136">
        <f>+'PLAN RASHODA I IZDATAKA'!Q91</f>
        <v>0</v>
      </c>
      <c r="R91" s="136">
        <f>+'PLAN RASHODA I IZDATAKA'!R91</f>
        <v>0</v>
      </c>
      <c r="S91" s="136">
        <f>+'PLAN RASHODA I IZDATAKA'!S91</f>
        <v>0</v>
      </c>
      <c r="T91" s="136">
        <f>+'PLAN RASHODA I IZDATAKA'!T91</f>
        <v>0</v>
      </c>
      <c r="U91" s="136">
        <f>+'PLAN RASHODA I IZDATAKA'!U91</f>
        <v>0</v>
      </c>
      <c r="V91" s="136">
        <f>+'PLAN RASHODA I IZDATAKA'!V91</f>
        <v>0</v>
      </c>
      <c r="W91" s="136">
        <f>+'PLAN RASHODA I IZDATAKA'!W91</f>
        <v>0</v>
      </c>
      <c r="X91" s="94"/>
      <c r="Y91" s="94"/>
      <c r="Z91" s="94"/>
      <c r="AA91" s="94"/>
      <c r="AB91" s="94"/>
      <c r="AC91" s="94"/>
    </row>
    <row r="92" spans="1:29" s="90" customFormat="1" ht="13.5" thickBot="1">
      <c r="A92" s="90">
        <v>2023</v>
      </c>
      <c r="B92" s="116"/>
      <c r="C92" s="117" t="s">
        <v>351</v>
      </c>
      <c r="D92" s="69">
        <f>SUM(E92:W92)</f>
        <v>0</v>
      </c>
      <c r="E92" s="118">
        <f>+E90-E91</f>
        <v>0</v>
      </c>
      <c r="F92" s="118">
        <f t="shared" ref="F92:V92" si="26">+F90-F91</f>
        <v>0</v>
      </c>
      <c r="G92" s="118">
        <f t="shared" si="26"/>
        <v>0</v>
      </c>
      <c r="H92" s="118">
        <f>+H90-H91</f>
        <v>0</v>
      </c>
      <c r="I92" s="118">
        <f t="shared" si="26"/>
        <v>0</v>
      </c>
      <c r="J92" s="118">
        <f t="shared" si="26"/>
        <v>0</v>
      </c>
      <c r="K92" s="118">
        <f t="shared" si="26"/>
        <v>0</v>
      </c>
      <c r="L92" s="118">
        <f>+L90-L91</f>
        <v>0</v>
      </c>
      <c r="M92" s="118">
        <f t="shared" si="26"/>
        <v>0</v>
      </c>
      <c r="N92" s="118">
        <f t="shared" si="26"/>
        <v>0</v>
      </c>
      <c r="O92" s="118">
        <f t="shared" si="26"/>
        <v>0</v>
      </c>
      <c r="P92" s="118">
        <f>+P90-P91</f>
        <v>0</v>
      </c>
      <c r="Q92" s="118">
        <f>+Q90-Q91</f>
        <v>0</v>
      </c>
      <c r="R92" s="118">
        <f>+R90-R91</f>
        <v>0</v>
      </c>
      <c r="S92" s="118">
        <f t="shared" si="26"/>
        <v>0</v>
      </c>
      <c r="T92" s="118">
        <f t="shared" si="26"/>
        <v>0</v>
      </c>
      <c r="U92" s="118">
        <f t="shared" si="26"/>
        <v>0</v>
      </c>
      <c r="V92" s="118">
        <f t="shared" si="26"/>
        <v>0</v>
      </c>
      <c r="W92" s="118">
        <f>+W90-W91</f>
        <v>0</v>
      </c>
    </row>
    <row r="93" spans="1:29" s="90" customFormat="1">
      <c r="A93" s="90">
        <v>2023</v>
      </c>
      <c r="B93" s="97" t="s">
        <v>1565</v>
      </c>
      <c r="C93" s="110" t="s">
        <v>1566</v>
      </c>
      <c r="D93" s="70">
        <f>SUM(E93:W93)</f>
        <v>0</v>
      </c>
      <c r="E93" s="189">
        <f>SUMIFS('Plan prihoda za unos u SAP'!$I$3:$I$501,'Plan prihoda za unos u SAP'!$C$3:$C$501,"=11",'Plan prihoda za unos u SAP'!$K$3:$K$501,"=614")</f>
        <v>0</v>
      </c>
      <c r="F93" s="189">
        <f>SUMIFS('Plan prihoda za unos u SAP'!$I$3:$I$501,'Plan prihoda za unos u SAP'!$C$3:$C$501,"=12",'Plan prihoda za unos u SAP'!$K$3:$K$501,"=614")</f>
        <v>0</v>
      </c>
      <c r="G93" s="189">
        <f>SUMIFS('Plan prihoda za unos u SAP'!$I$3:$I$501,'Plan prihoda za unos u SAP'!$C$3:$C$501,"=31",'Plan prihoda za unos u SAP'!$K$3:$K$501,"=614")</f>
        <v>0</v>
      </c>
      <c r="H93" s="189">
        <f>SUMIFS('Plan prihoda za unos u SAP'!$I$3:$I$501,'Plan prihoda za unos u SAP'!$C$3:$C$501,"=41",'Plan prihoda za unos u SAP'!$K$3:$K$501,"=614")</f>
        <v>0</v>
      </c>
      <c r="I93" s="189">
        <f>SUMIFS('Plan prihoda za unos u SAP'!$I$3:$I$501,'Plan prihoda za unos u SAP'!$C$3:$C$501,"=43",'Plan prihoda za unos u SAP'!$K$3:$K$501,"=614")</f>
        <v>0</v>
      </c>
      <c r="J93" s="189">
        <f>SUMIFS('Plan prihoda za unos u SAP'!$I$3:$I$501,'Plan prihoda za unos u SAP'!$C$3:$C$501,"=51",'Plan prihoda za unos u SAP'!$K$3:$K$501,"=614")</f>
        <v>0</v>
      </c>
      <c r="K93" s="189">
        <f>SUMIFS('Plan prihoda za unos u SAP'!$I$3:$I$501,'Plan prihoda za unos u SAP'!$C$3:$C$501,"=52",'Plan prihoda za unos u SAP'!$K$3:$K$501,"=614")</f>
        <v>0</v>
      </c>
      <c r="L93" s="189">
        <f>SUMIFS('Plan prihoda za unos u SAP'!$I$3:$I$501,'Plan prihoda za unos u SAP'!$C$3:$C$501,"=552",'Plan prihoda za unos u SAP'!$K$3:$K$501,"=614")</f>
        <v>0</v>
      </c>
      <c r="M93" s="189">
        <f>SUMIFS('Plan prihoda za unos u SAP'!$I$3:$I$501,'Plan prihoda za unos u SAP'!$C$3:$C$501,"=559",'Plan prihoda za unos u SAP'!$K$3:$K$501,"=614")</f>
        <v>0</v>
      </c>
      <c r="N93" s="189">
        <f>SUMIFS('Plan prihoda za unos u SAP'!$I$3:$I$501,'Plan prihoda za unos u SAP'!$C$3:$C$501,"=561",'Plan prihoda za unos u SAP'!$K$3:$K$501,"=614")</f>
        <v>0</v>
      </c>
      <c r="O93" s="189">
        <f>SUMIFS('Plan prihoda za unos u SAP'!$I$3:$I$501,'Plan prihoda za unos u SAP'!$C$3:$C$501,"=563",'Plan prihoda za unos u SAP'!$K$3:$K$501,"=614")</f>
        <v>0</v>
      </c>
      <c r="P93" s="189">
        <f>SUMIFS('Plan prihoda za unos u SAP'!$I$3:$I$501,'Plan prihoda za unos u SAP'!$C$3:$C$501,"=573",'Plan prihoda za unos u SAP'!$K$3:$K$501,"=614")</f>
        <v>0</v>
      </c>
      <c r="Q93" s="189">
        <f>SUMIFS('Plan prihoda za unos u SAP'!$I$3:$I$501,'Plan prihoda za unos u SAP'!$C$3:$C$501,"=575",'Plan prihoda za unos u SAP'!$K$3:$K$501,"=614")</f>
        <v>0</v>
      </c>
      <c r="R93" s="189">
        <f>SUMIFS('Plan prihoda za unos u SAP'!$I$3:$I$501,'Plan prihoda za unos u SAP'!$C$3:$C$501,"=576",'Plan prihoda za unos u SAP'!$K$3:$K$501,"=614")</f>
        <v>0</v>
      </c>
      <c r="S93" s="189">
        <f>SUMIFS('Plan prihoda za unos u SAP'!$I$3:$I$501,'Plan prihoda za unos u SAP'!$C$3:$C$501,"=61",'Plan prihoda za unos u SAP'!$K$3:$K$501,"=614")</f>
        <v>0</v>
      </c>
      <c r="T93" s="189">
        <f>SUMIFS('Plan prihoda za unos u SAP'!$I$3:$I$501,'Plan prihoda za unos u SAP'!$C$3:$C$501,"=63",'Plan prihoda za unos u SAP'!$K$3:$K$501,"=614")</f>
        <v>0</v>
      </c>
      <c r="U93" s="189">
        <f>SUMIFS('Plan prihoda za unos u SAP'!$I$3:$I$501,'Plan prihoda za unos u SAP'!$C$3:$C$501,"=71",'Plan prihoda za unos u SAP'!$K$3:$K$501,"=614")</f>
        <v>0</v>
      </c>
      <c r="V93" s="189">
        <f>SUMIFS('Plan prihoda za unos u SAP'!$I$3:$I$501,'Plan prihoda za unos u SAP'!$C$3:$C$501,"=81",'Plan prihoda za unos u SAP'!$K$3:$K$501,"=614")</f>
        <v>0</v>
      </c>
      <c r="W93" s="189">
        <f>SUMIFS('Plan prihoda za unos u SAP'!$I$3:$I$501,'Plan prihoda za unos u SAP'!$C$3:$C$501,"=83",'Plan prihoda za unos u SAP'!$K$3:$K$501,"=614")</f>
        <v>0</v>
      </c>
    </row>
    <row r="94" spans="1:29" s="90" customFormat="1">
      <c r="A94" s="90">
        <v>2023</v>
      </c>
      <c r="B94" s="97" t="s">
        <v>281</v>
      </c>
      <c r="C94" s="96" t="s">
        <v>282</v>
      </c>
      <c r="D94" s="70">
        <f t="shared" si="23"/>
        <v>0</v>
      </c>
      <c r="E94" s="189">
        <f>SUMIFS('Plan prihoda za unos u SAP'!$I$3:$I$501,'Plan prihoda za unos u SAP'!$C$3:$C$501,"=11",'Plan prihoda za unos u SAP'!$K$3:$K$501,"=631")</f>
        <v>0</v>
      </c>
      <c r="F94" s="189">
        <f>SUMIFS('Plan prihoda za unos u SAP'!$I$3:$I$501,'Plan prihoda za unos u SAP'!$C$3:$C$501,"=12",'Plan prihoda za unos u SAP'!$K$3:$K$501,"=631")</f>
        <v>0</v>
      </c>
      <c r="G94" s="189">
        <f>SUMIFS('Plan prihoda za unos u SAP'!$I$3:$I$501,'Plan prihoda za unos u SAP'!$C$3:$C$501,"=31",'Plan prihoda za unos u SAP'!$K$3:$K$501,"=631")</f>
        <v>0</v>
      </c>
      <c r="H94" s="189">
        <f>SUMIFS('Plan prihoda za unos u SAP'!$I$3:$I$501,'Plan prihoda za unos u SAP'!$C$3:$C$501,"=41",'Plan prihoda za unos u SAP'!$K$3:$K$501,"=631")</f>
        <v>0</v>
      </c>
      <c r="I94" s="189">
        <f>SUMIFS('Plan prihoda za unos u SAP'!$I$3:$I$501,'Plan prihoda za unos u SAP'!$C$3:$C$501,"=43",'Plan prihoda za unos u SAP'!$K$3:$K$501,"=631")</f>
        <v>0</v>
      </c>
      <c r="J94" s="189">
        <f>SUMIFS('Plan prihoda za unos u SAP'!$I$3:$I$501,'Plan prihoda za unos u SAP'!$C$3:$C$501,"=51",'Plan prihoda za unos u SAP'!$K$3:$K$501,"=631")</f>
        <v>0</v>
      </c>
      <c r="K94" s="189">
        <f>SUMIFS('Plan prihoda za unos u SAP'!$I$3:$I$501,'Plan prihoda za unos u SAP'!$C$3:$C$501,"=52",'Plan prihoda za unos u SAP'!$K$3:$K$501,"=631")</f>
        <v>0</v>
      </c>
      <c r="L94" s="189">
        <f>SUMIFS('Plan prihoda za unos u SAP'!$I$3:$I$501,'Plan prihoda za unos u SAP'!$C$3:$C$501,"=552",'Plan prihoda za unos u SAP'!$K$3:$K$501,"=631")</f>
        <v>0</v>
      </c>
      <c r="M94" s="189">
        <f>SUMIFS('Plan prihoda za unos u SAP'!$I$3:$I$501,'Plan prihoda za unos u SAP'!$C$3:$C$501,"=559",'Plan prihoda za unos u SAP'!$K$3:$K$501,"=631")</f>
        <v>0</v>
      </c>
      <c r="N94" s="189">
        <f>SUMIFS('Plan prihoda za unos u SAP'!$I$3:$I$501,'Plan prihoda za unos u SAP'!$C$3:$C$501,"=561",'Plan prihoda za unos u SAP'!$K$3:$K$501,"=631")</f>
        <v>0</v>
      </c>
      <c r="O94" s="189">
        <f>SUMIFS('Plan prihoda za unos u SAP'!$I$3:$I$501,'Plan prihoda za unos u SAP'!$C$3:$C$501,"=563",'Plan prihoda za unos u SAP'!$K$3:$K$501,"=631")</f>
        <v>0</v>
      </c>
      <c r="P94" s="189">
        <f>SUMIFS('Plan prihoda za unos u SAP'!$I$3:$I$501,'Plan prihoda za unos u SAP'!$C$3:$C$501,"=573",'Plan prihoda za unos u SAP'!$K$3:$K$501,"=631")</f>
        <v>0</v>
      </c>
      <c r="Q94" s="189">
        <f>SUMIFS('Plan prihoda za unos u SAP'!$I$3:$I$501,'Plan prihoda za unos u SAP'!$C$3:$C$501,"=575",'Plan prihoda za unos u SAP'!$K$3:$K$501,"=631")</f>
        <v>0</v>
      </c>
      <c r="R94" s="189">
        <f>SUMIFS('Plan prihoda za unos u SAP'!$I$3:$I$501,'Plan prihoda za unos u SAP'!$C$3:$C$501,"=576",'Plan prihoda za unos u SAP'!$K$3:$K$501,"=631")</f>
        <v>0</v>
      </c>
      <c r="S94" s="189">
        <f>SUMIFS('Plan prihoda za unos u SAP'!$I$3:$I$501,'Plan prihoda za unos u SAP'!$C$3:$C$501,"=61",'Plan prihoda za unos u SAP'!$K$3:$K$501,"=631")</f>
        <v>0</v>
      </c>
      <c r="T94" s="189">
        <f>SUMIFS('Plan prihoda za unos u SAP'!$I$3:$I$501,'Plan prihoda za unos u SAP'!$C$3:$C$501,"=63",'Plan prihoda za unos u SAP'!$K$3:$K$501,"=631")</f>
        <v>0</v>
      </c>
      <c r="U94" s="189">
        <f>SUMIFS('Plan prihoda za unos u SAP'!$I$3:$I$501,'Plan prihoda za unos u SAP'!$C$3:$C$501,"=71",'Plan prihoda za unos u SAP'!$K$3:$K$501,"=631")</f>
        <v>0</v>
      </c>
      <c r="V94" s="189">
        <f>SUMIFS('Plan prihoda za unos u SAP'!$I$3:$I$501,'Plan prihoda za unos u SAP'!$C$3:$C$501,"=81",'Plan prihoda za unos u SAP'!$K$3:$K$501,"=631")</f>
        <v>0</v>
      </c>
      <c r="W94" s="189">
        <f>SUMIFS('Plan prihoda za unos u SAP'!$I$3:$I$501,'Plan prihoda za unos u SAP'!$C$3:$C$501,"=83",'Plan prihoda za unos u SAP'!$K$3:$K$501,"=631")</f>
        <v>0</v>
      </c>
    </row>
    <row r="95" spans="1:29" s="90" customFormat="1">
      <c r="A95" s="90">
        <v>2023</v>
      </c>
      <c r="B95" s="95" t="s">
        <v>283</v>
      </c>
      <c r="C95" s="96" t="s">
        <v>284</v>
      </c>
      <c r="D95" s="70">
        <f t="shared" si="23"/>
        <v>0</v>
      </c>
      <c r="E95" s="189">
        <f>SUMIFS('Plan prihoda za unos u SAP'!$I$3:$I$501,'Plan prihoda za unos u SAP'!$C$3:$C$501,"=11",'Plan prihoda za unos u SAP'!$K$3:$K$501,"=632")</f>
        <v>0</v>
      </c>
      <c r="F95" s="189">
        <f>SUMIFS('Plan prihoda za unos u SAP'!$I$3:$I$501,'Plan prihoda za unos u SAP'!$C$3:$C$501,"=12",'Plan prihoda za unos u SAP'!$K$3:$K$501,"=632")</f>
        <v>0</v>
      </c>
      <c r="G95" s="189">
        <f>SUMIFS('Plan prihoda za unos u SAP'!$I$3:$I$501,'Plan prihoda za unos u SAP'!$C$3:$C$501,"=31",'Plan prihoda za unos u SAP'!$K$3:$K$501,"=632")</f>
        <v>0</v>
      </c>
      <c r="H95" s="189">
        <f>SUMIFS('Plan prihoda za unos u SAP'!$I$3:$I$501,'Plan prihoda za unos u SAP'!$C$3:$C$501,"=41",'Plan prihoda za unos u SAP'!$K$3:$K$501,"=632")</f>
        <v>0</v>
      </c>
      <c r="I95" s="189">
        <f>SUMIFS('Plan prihoda za unos u SAP'!$I$3:$I$501,'Plan prihoda za unos u SAP'!$C$3:$C$501,"=43",'Plan prihoda za unos u SAP'!$K$3:$K$501,"=632")</f>
        <v>0</v>
      </c>
      <c r="J95" s="189">
        <f>SUMIFS('Plan prihoda za unos u SAP'!$I$3:$I$501,'Plan prihoda za unos u SAP'!$C$3:$C$501,"=51",'Plan prihoda za unos u SAP'!$K$3:$K$501,"=632")</f>
        <v>0</v>
      </c>
      <c r="K95" s="189">
        <f>SUMIFS('Plan prihoda za unos u SAP'!$I$3:$I$501,'Plan prihoda za unos u SAP'!$C$3:$C$501,"=52",'Plan prihoda za unos u SAP'!$K$3:$K$501,"=632")</f>
        <v>0</v>
      </c>
      <c r="L95" s="189">
        <f>SUMIFS('Plan prihoda za unos u SAP'!$I$3:$I$501,'Plan prihoda za unos u SAP'!$C$3:$C$501,"=552",'Plan prihoda za unos u SAP'!$K$3:$K$501,"=632")</f>
        <v>0</v>
      </c>
      <c r="M95" s="189">
        <f>SUMIFS('Plan prihoda za unos u SAP'!$I$3:$I$501,'Plan prihoda za unos u SAP'!$C$3:$C$501,"=559",'Plan prihoda za unos u SAP'!$K$3:$K$501,"=632")</f>
        <v>0</v>
      </c>
      <c r="N95" s="189">
        <f>SUMIFS('Plan prihoda za unos u SAP'!$I$3:$I$501,'Plan prihoda za unos u SAP'!$C$3:$C$501,"=561",'Plan prihoda za unos u SAP'!$K$3:$K$501,"=632")</f>
        <v>0</v>
      </c>
      <c r="O95" s="189">
        <f>SUMIFS('Plan prihoda za unos u SAP'!$I$3:$I$501,'Plan prihoda za unos u SAP'!$C$3:$C$501,"=563",'Plan prihoda za unos u SAP'!$K$3:$K$501,"=632")</f>
        <v>0</v>
      </c>
      <c r="P95" s="189">
        <f>SUMIFS('Plan prihoda za unos u SAP'!$I$3:$I$501,'Plan prihoda za unos u SAP'!$C$3:$C$501,"=573",'Plan prihoda za unos u SAP'!$K$3:$K$501,"=632")</f>
        <v>0</v>
      </c>
      <c r="Q95" s="189">
        <f>SUMIFS('Plan prihoda za unos u SAP'!$I$3:$I$501,'Plan prihoda za unos u SAP'!$C$3:$C$501,"=575",'Plan prihoda za unos u SAP'!$K$3:$K$501,"=632")</f>
        <v>0</v>
      </c>
      <c r="R95" s="189">
        <f>SUMIFS('Plan prihoda za unos u SAP'!$I$3:$I$501,'Plan prihoda za unos u SAP'!$C$3:$C$501,"=576",'Plan prihoda za unos u SAP'!$K$3:$K$501,"=632")</f>
        <v>0</v>
      </c>
      <c r="S95" s="189">
        <f>SUMIFS('Plan prihoda za unos u SAP'!$I$3:$I$501,'Plan prihoda za unos u SAP'!$C$3:$C$501,"=61",'Plan prihoda za unos u SAP'!$K$3:$K$501,"=632")</f>
        <v>0</v>
      </c>
      <c r="T95" s="189">
        <f>SUMIFS('Plan prihoda za unos u SAP'!$I$3:$I$501,'Plan prihoda za unos u SAP'!$C$3:$C$501,"=63",'Plan prihoda za unos u SAP'!$K$3:$K$501,"=632")</f>
        <v>0</v>
      </c>
      <c r="U95" s="189">
        <f>SUMIFS('Plan prihoda za unos u SAP'!$I$3:$I$501,'Plan prihoda za unos u SAP'!$C$3:$C$501,"=71",'Plan prihoda za unos u SAP'!$K$3:$K$501,"=632")</f>
        <v>0</v>
      </c>
      <c r="V95" s="189">
        <f>SUMIFS('Plan prihoda za unos u SAP'!$I$3:$I$501,'Plan prihoda za unos u SAP'!$C$3:$C$501,"=81",'Plan prihoda za unos u SAP'!$K$3:$K$501,"=632")</f>
        <v>0</v>
      </c>
      <c r="W95" s="189">
        <f>SUMIFS('Plan prihoda za unos u SAP'!$I$3:$I$501,'Plan prihoda za unos u SAP'!$C$3:$C$501,"=83",'Plan prihoda za unos u SAP'!$K$3:$K$501,"=632")</f>
        <v>0</v>
      </c>
    </row>
    <row r="96" spans="1:29" s="90" customFormat="1">
      <c r="A96" s="90">
        <v>2023</v>
      </c>
      <c r="B96" s="95" t="s">
        <v>285</v>
      </c>
      <c r="C96" s="96" t="s">
        <v>286</v>
      </c>
      <c r="D96" s="70">
        <f t="shared" si="23"/>
        <v>0</v>
      </c>
      <c r="E96" s="189">
        <f>SUMIFS('Plan prihoda za unos u SAP'!$I$3:$I$501,'Plan prihoda za unos u SAP'!$C$3:$C$501,"=11",'Plan prihoda za unos u SAP'!$K$3:$K$501,"=634")</f>
        <v>0</v>
      </c>
      <c r="F96" s="189">
        <f>SUMIFS('Plan prihoda za unos u SAP'!$I$3:$I$501,'Plan prihoda za unos u SAP'!$C$3:$C$501,"=12",'Plan prihoda za unos u SAP'!$K$3:$K$501,"=634")</f>
        <v>0</v>
      </c>
      <c r="G96" s="189">
        <f>SUMIFS('Plan prihoda za unos u SAP'!$I$3:$I$501,'Plan prihoda za unos u SAP'!$C$3:$C$501,"=31",'Plan prihoda za unos u SAP'!$K$3:$K$501,"=634")</f>
        <v>0</v>
      </c>
      <c r="H96" s="189">
        <f>SUMIFS('Plan prihoda za unos u SAP'!$I$3:$I$501,'Plan prihoda za unos u SAP'!$C$3:$C$501,"=41",'Plan prihoda za unos u SAP'!$K$3:$K$501,"=634")</f>
        <v>0</v>
      </c>
      <c r="I96" s="189">
        <f>SUMIFS('Plan prihoda za unos u SAP'!$I$3:$I$501,'Plan prihoda za unos u SAP'!$C$3:$C$501,"=43",'Plan prihoda za unos u SAP'!$K$3:$K$501,"=634")</f>
        <v>0</v>
      </c>
      <c r="J96" s="189">
        <f>SUMIFS('Plan prihoda za unos u SAP'!$I$3:$I$501,'Plan prihoda za unos u SAP'!$C$3:$C$501,"=51",'Plan prihoda za unos u SAP'!$K$3:$K$501,"=634")</f>
        <v>0</v>
      </c>
      <c r="K96" s="189">
        <f>SUMIFS('Plan prihoda za unos u SAP'!$I$3:$I$501,'Plan prihoda za unos u SAP'!$C$3:$C$501,"=52",'Plan prihoda za unos u SAP'!$K$3:$K$501,"=634")</f>
        <v>0</v>
      </c>
      <c r="L96" s="189">
        <f>SUMIFS('Plan prihoda za unos u SAP'!$I$3:$I$501,'Plan prihoda za unos u SAP'!$C$3:$C$501,"=552",'Plan prihoda za unos u SAP'!$K$3:$K$501,"=634")</f>
        <v>0</v>
      </c>
      <c r="M96" s="189">
        <f>SUMIFS('Plan prihoda za unos u SAP'!$I$3:$I$501,'Plan prihoda za unos u SAP'!$C$3:$C$501,"=559",'Plan prihoda za unos u SAP'!$K$3:$K$501,"=634")</f>
        <v>0</v>
      </c>
      <c r="N96" s="189">
        <f>SUMIFS('Plan prihoda za unos u SAP'!$I$3:$I$501,'Plan prihoda za unos u SAP'!$C$3:$C$501,"=561",'Plan prihoda za unos u SAP'!$K$3:$K$501,"=634")</f>
        <v>0</v>
      </c>
      <c r="O96" s="189">
        <f>SUMIFS('Plan prihoda za unos u SAP'!$I$3:$I$501,'Plan prihoda za unos u SAP'!$C$3:$C$501,"=563",'Plan prihoda za unos u SAP'!$K$3:$K$501,"=634")</f>
        <v>0</v>
      </c>
      <c r="P96" s="189">
        <f>SUMIFS('Plan prihoda za unos u SAP'!$I$3:$I$501,'Plan prihoda za unos u SAP'!$C$3:$C$501,"=573",'Plan prihoda za unos u SAP'!$K$3:$K$501,"=634")</f>
        <v>0</v>
      </c>
      <c r="Q96" s="189">
        <f>SUMIFS('Plan prihoda za unos u SAP'!$I$3:$I$501,'Plan prihoda za unos u SAP'!$C$3:$C$501,"=575",'Plan prihoda za unos u SAP'!$K$3:$K$501,"=634")</f>
        <v>0</v>
      </c>
      <c r="R96" s="189">
        <f>SUMIFS('Plan prihoda za unos u SAP'!$I$3:$I$501,'Plan prihoda za unos u SAP'!$C$3:$C$501,"=576",'Plan prihoda za unos u SAP'!$K$3:$K$501,"=634")</f>
        <v>0</v>
      </c>
      <c r="S96" s="189">
        <f>SUMIFS('Plan prihoda za unos u SAP'!$I$3:$I$501,'Plan prihoda za unos u SAP'!$C$3:$C$501,"=61",'Plan prihoda za unos u SAP'!$K$3:$K$501,"=634")</f>
        <v>0</v>
      </c>
      <c r="T96" s="189">
        <f>SUMIFS('Plan prihoda za unos u SAP'!$I$3:$I$501,'Plan prihoda za unos u SAP'!$C$3:$C$501,"=63",'Plan prihoda za unos u SAP'!$K$3:$K$501,"=634")</f>
        <v>0</v>
      </c>
      <c r="U96" s="189">
        <f>SUMIFS('Plan prihoda za unos u SAP'!$I$3:$I$501,'Plan prihoda za unos u SAP'!$C$3:$C$501,"=71",'Plan prihoda za unos u SAP'!$K$3:$K$501,"=634")</f>
        <v>0</v>
      </c>
      <c r="V96" s="189">
        <f>SUMIFS('Plan prihoda za unos u SAP'!$I$3:$I$501,'Plan prihoda za unos u SAP'!$C$3:$C$501,"=81",'Plan prihoda za unos u SAP'!$K$3:$K$501,"=634")</f>
        <v>0</v>
      </c>
      <c r="W96" s="189">
        <f>SUMIFS('Plan prihoda za unos u SAP'!$I$3:$I$501,'Plan prihoda za unos u SAP'!$C$3:$C$501,"=83",'Plan prihoda za unos u SAP'!$K$3:$K$501,"=634")</f>
        <v>0</v>
      </c>
    </row>
    <row r="97" spans="1:23" s="90" customFormat="1">
      <c r="A97" s="90">
        <v>2023</v>
      </c>
      <c r="B97" s="215" t="s">
        <v>762</v>
      </c>
      <c r="C97" s="96" t="s">
        <v>763</v>
      </c>
      <c r="D97" s="70">
        <f t="shared" si="23"/>
        <v>20000</v>
      </c>
      <c r="E97" s="189">
        <f>SUMIFS('Plan prihoda za unos u SAP'!$I$3:$I$501,'Plan prihoda za unos u SAP'!$C$3:$C$501,"=11",'Plan prihoda za unos u SAP'!$K$3:$K$501,"=636")</f>
        <v>0</v>
      </c>
      <c r="F97" s="189">
        <f>SUMIFS('Plan prihoda za unos u SAP'!$I$3:$I$501,'Plan prihoda za unos u SAP'!$C$3:$C$501,"=12",'Plan prihoda za unos u SAP'!$K$3:$K$501,"=636")</f>
        <v>0</v>
      </c>
      <c r="G97" s="189">
        <f>SUMIFS('Plan prihoda za unos u SAP'!$I$3:$I$501,'Plan prihoda za unos u SAP'!$C$3:$C$501,"=31",'Plan prihoda za unos u SAP'!$K$3:$K$501,"=636")</f>
        <v>0</v>
      </c>
      <c r="H97" s="189">
        <f>SUMIFS('Plan prihoda za unos u SAP'!$I$3:$I$501,'Plan prihoda za unos u SAP'!$C$3:$C$501,"=41",'Plan prihoda za unos u SAP'!$K$3:$K$501,"=636")</f>
        <v>0</v>
      </c>
      <c r="I97" s="189">
        <f>SUMIFS('Plan prihoda za unos u SAP'!$I$3:$I$501,'Plan prihoda za unos u SAP'!$C$3:$C$501,"=43",'Plan prihoda za unos u SAP'!$K$3:$K$501,"=636")</f>
        <v>0</v>
      </c>
      <c r="J97" s="189">
        <f>SUMIFS('Plan prihoda za unos u SAP'!$I$3:$I$501,'Plan prihoda za unos u SAP'!$C$3:$C$501,"=51",'Plan prihoda za unos u SAP'!$K$3:$K$501,"=636")</f>
        <v>0</v>
      </c>
      <c r="K97" s="189">
        <f>SUMIFS('Plan prihoda za unos u SAP'!$I$3:$I$501,'Plan prihoda za unos u SAP'!$C$3:$C$501,"=52",'Plan prihoda za unos u SAP'!$K$3:$K$501,"=636")</f>
        <v>20000</v>
      </c>
      <c r="L97" s="189">
        <f>SUMIFS('Plan prihoda za unos u SAP'!$I$3:$I$501,'Plan prihoda za unos u SAP'!$C$3:$C$501,"=552",'Plan prihoda za unos u SAP'!$K$3:$K$501,"=636")</f>
        <v>0</v>
      </c>
      <c r="M97" s="189">
        <f>SUMIFS('Plan prihoda za unos u SAP'!$I$3:$I$501,'Plan prihoda za unos u SAP'!$C$3:$C$501,"=559",'Plan prihoda za unos u SAP'!$K$3:$K$501,"=636")</f>
        <v>0</v>
      </c>
      <c r="N97" s="189">
        <f>SUMIFS('Plan prihoda za unos u SAP'!$I$3:$I$501,'Plan prihoda za unos u SAP'!$C$3:$C$501,"=561",'Plan prihoda za unos u SAP'!$K$3:$K$501,"=636")</f>
        <v>0</v>
      </c>
      <c r="O97" s="189">
        <f>SUMIFS('Plan prihoda za unos u SAP'!$I$3:$I$501,'Plan prihoda za unos u SAP'!$C$3:$C$501,"=563",'Plan prihoda za unos u SAP'!$K$3:$K$501,"=636")</f>
        <v>0</v>
      </c>
      <c r="P97" s="189">
        <f>SUMIFS('Plan prihoda za unos u SAP'!$I$3:$I$501,'Plan prihoda za unos u SAP'!$C$3:$C$501,"=573",'Plan prihoda za unos u SAP'!$K$3:$K$501,"=636")</f>
        <v>0</v>
      </c>
      <c r="Q97" s="189">
        <f>SUMIFS('Plan prihoda za unos u SAP'!$I$3:$I$501,'Plan prihoda za unos u SAP'!$C$3:$C$501,"=575",'Plan prihoda za unos u SAP'!$K$3:$K$501,"=636")</f>
        <v>0</v>
      </c>
      <c r="R97" s="189">
        <f>SUMIFS('Plan prihoda za unos u SAP'!$I$3:$I$501,'Plan prihoda za unos u SAP'!$C$3:$C$501,"=576",'Plan prihoda za unos u SAP'!$K$3:$K$501,"=636")</f>
        <v>0</v>
      </c>
      <c r="S97" s="189">
        <f>SUMIFS('Plan prihoda za unos u SAP'!$I$3:$I$501,'Plan prihoda za unos u SAP'!$C$3:$C$501,"=61",'Plan prihoda za unos u SAP'!$K$3:$K$501,"=636")</f>
        <v>0</v>
      </c>
      <c r="T97" s="189">
        <f>SUMIFS('Plan prihoda za unos u SAP'!$I$3:$I$501,'Plan prihoda za unos u SAP'!$C$3:$C$501,"=63",'Plan prihoda za unos u SAP'!$K$3:$K$501,"=636")</f>
        <v>0</v>
      </c>
      <c r="U97" s="189">
        <f>SUMIFS('Plan prihoda za unos u SAP'!$I$3:$I$501,'Plan prihoda za unos u SAP'!$C$3:$C$501,"=71",'Plan prihoda za unos u SAP'!$K$3:$K$501,"=636")</f>
        <v>0</v>
      </c>
      <c r="V97" s="189">
        <f>SUMIFS('Plan prihoda za unos u SAP'!$I$3:$I$501,'Plan prihoda za unos u SAP'!$C$3:$C$501,"=81",'Plan prihoda za unos u SAP'!$K$3:$K$501,"=636")</f>
        <v>0</v>
      </c>
      <c r="W97" s="189">
        <f>SUMIFS('Plan prihoda za unos u SAP'!$I$3:$I$501,'Plan prihoda za unos u SAP'!$C$3:$C$501,"=83",'Plan prihoda za unos u SAP'!$K$3:$K$501,"=636")</f>
        <v>0</v>
      </c>
    </row>
    <row r="98" spans="1:23" s="90" customFormat="1">
      <c r="A98" s="90">
        <v>2023</v>
      </c>
      <c r="B98" s="95" t="s">
        <v>287</v>
      </c>
      <c r="C98" s="96" t="s">
        <v>288</v>
      </c>
      <c r="D98" s="70">
        <f t="shared" si="23"/>
        <v>0</v>
      </c>
      <c r="E98" s="189">
        <f>SUMIFS('Plan prihoda za unos u SAP'!$I$3:$I$501,'Plan prihoda za unos u SAP'!$C$3:$C$501,"=11",'Plan prihoda za unos u SAP'!$K$3:$K$501,"=638")</f>
        <v>0</v>
      </c>
      <c r="F98" s="189">
        <f>SUMIFS('Plan prihoda za unos u SAP'!$I$3:$I$501,'Plan prihoda za unos u SAP'!$C$3:$C$501,"=12",'Plan prihoda za unos u SAP'!$K$3:$K$501,"=638")</f>
        <v>0</v>
      </c>
      <c r="G98" s="189">
        <f>SUMIFS('Plan prihoda za unos u SAP'!$I$3:$I$501,'Plan prihoda za unos u SAP'!$C$3:$C$501,"=31",'Plan prihoda za unos u SAP'!$K$3:$K$501,"=638")</f>
        <v>0</v>
      </c>
      <c r="H98" s="189">
        <f>SUMIFS('Plan prihoda za unos u SAP'!$I$3:$I$501,'Plan prihoda za unos u SAP'!$C$3:$C$501,"=41",'Plan prihoda za unos u SAP'!$K$3:$K$501,"=638")</f>
        <v>0</v>
      </c>
      <c r="I98" s="189">
        <f>SUMIFS('Plan prihoda za unos u SAP'!$I$3:$I$501,'Plan prihoda za unos u SAP'!$C$3:$C$501,"=43",'Plan prihoda za unos u SAP'!$K$3:$K$501,"=638")</f>
        <v>0</v>
      </c>
      <c r="J98" s="189">
        <f>SUMIFS('Plan prihoda za unos u SAP'!$I$3:$I$501,'Plan prihoda za unos u SAP'!$C$3:$C$501,"=51",'Plan prihoda za unos u SAP'!$K$3:$K$501,"=638")</f>
        <v>0</v>
      </c>
      <c r="K98" s="189">
        <f>SUMIFS('Plan prihoda za unos u SAP'!$I$3:$I$501,'Plan prihoda za unos u SAP'!$C$3:$C$501,"=52",'Plan prihoda za unos u SAP'!$K$3:$K$501,"=638")</f>
        <v>0</v>
      </c>
      <c r="L98" s="189">
        <f>SUMIFS('Plan prihoda za unos u SAP'!$I$3:$I$501,'Plan prihoda za unos u SAP'!$C$3:$C$501,"=552",'Plan prihoda za unos u SAP'!$K$3:$K$501,"=638")</f>
        <v>0</v>
      </c>
      <c r="M98" s="189">
        <f>SUMIFS('Plan prihoda za unos u SAP'!$I$3:$I$501,'Plan prihoda za unos u SAP'!$C$3:$C$501,"=559",'Plan prihoda za unos u SAP'!$K$3:$K$501,"=638")</f>
        <v>0</v>
      </c>
      <c r="N98" s="189">
        <f>SUMIFS('Plan prihoda za unos u SAP'!$I$3:$I$501,'Plan prihoda za unos u SAP'!$C$3:$C$501,"=561",'Plan prihoda za unos u SAP'!$K$3:$K$501,"=638")</f>
        <v>0</v>
      </c>
      <c r="O98" s="189">
        <f>SUMIFS('Plan prihoda za unos u SAP'!$I$3:$I$501,'Plan prihoda za unos u SAP'!$C$3:$C$501,"=563",'Plan prihoda za unos u SAP'!$K$3:$K$501,"=638")</f>
        <v>0</v>
      </c>
      <c r="P98" s="189">
        <f>SUMIFS('Plan prihoda za unos u SAP'!$I$3:$I$501,'Plan prihoda za unos u SAP'!$C$3:$C$501,"=573",'Plan prihoda za unos u SAP'!$K$3:$K$501,"=638")</f>
        <v>0</v>
      </c>
      <c r="Q98" s="189">
        <f>SUMIFS('Plan prihoda za unos u SAP'!$I$3:$I$501,'Plan prihoda za unos u SAP'!$C$3:$C$501,"=575",'Plan prihoda za unos u SAP'!$K$3:$K$501,"=638")</f>
        <v>0</v>
      </c>
      <c r="R98" s="189">
        <f>SUMIFS('Plan prihoda za unos u SAP'!$I$3:$I$501,'Plan prihoda za unos u SAP'!$C$3:$C$501,"=576",'Plan prihoda za unos u SAP'!$K$3:$K$501,"=638")</f>
        <v>0</v>
      </c>
      <c r="S98" s="189">
        <f>SUMIFS('Plan prihoda za unos u SAP'!$I$3:$I$501,'Plan prihoda za unos u SAP'!$C$3:$C$501,"=61",'Plan prihoda za unos u SAP'!$K$3:$K$501,"=638")</f>
        <v>0</v>
      </c>
      <c r="T98" s="189">
        <f>SUMIFS('Plan prihoda za unos u SAP'!$I$3:$I$501,'Plan prihoda za unos u SAP'!$C$3:$C$501,"=63",'Plan prihoda za unos u SAP'!$K$3:$K$501,"=638")</f>
        <v>0</v>
      </c>
      <c r="U98" s="189">
        <f>SUMIFS('Plan prihoda za unos u SAP'!$I$3:$I$501,'Plan prihoda za unos u SAP'!$C$3:$C$501,"=71",'Plan prihoda za unos u SAP'!$K$3:$K$501,"=638")</f>
        <v>0</v>
      </c>
      <c r="V98" s="189">
        <f>SUMIFS('Plan prihoda za unos u SAP'!$I$3:$I$501,'Plan prihoda za unos u SAP'!$C$3:$C$501,"=81",'Plan prihoda za unos u SAP'!$K$3:$K$501,"=638")</f>
        <v>0</v>
      </c>
      <c r="W98" s="189">
        <f>SUMIFS('Plan prihoda za unos u SAP'!$I$3:$I$501,'Plan prihoda za unos u SAP'!$C$3:$C$501,"=83",'Plan prihoda za unos u SAP'!$K$3:$K$501,"=638")</f>
        <v>0</v>
      </c>
    </row>
    <row r="99" spans="1:23" s="90" customFormat="1">
      <c r="A99" s="90">
        <v>2023</v>
      </c>
      <c r="B99" s="95" t="s">
        <v>289</v>
      </c>
      <c r="C99" s="96" t="s">
        <v>41</v>
      </c>
      <c r="D99" s="70">
        <f t="shared" si="23"/>
        <v>0</v>
      </c>
      <c r="E99" s="189">
        <f>SUMIFS('Plan prihoda za unos u SAP'!$I$3:$I$501,'Plan prihoda za unos u SAP'!$C$3:$C$501,"=11",'Plan prihoda za unos u SAP'!$K$3:$K$501,"=639")</f>
        <v>0</v>
      </c>
      <c r="F99" s="189">
        <f>SUMIFS('Plan prihoda za unos u SAP'!$I$3:$I$501,'Plan prihoda za unos u SAP'!$C$3:$C$501,"=12",'Plan prihoda za unos u SAP'!$K$3:$K$501,"=639")</f>
        <v>0</v>
      </c>
      <c r="G99" s="189">
        <f>SUMIFS('Plan prihoda za unos u SAP'!$I$3:$I$501,'Plan prihoda za unos u SAP'!$C$3:$C$501,"=31",'Plan prihoda za unos u SAP'!$K$3:$K$501,"=639")</f>
        <v>0</v>
      </c>
      <c r="H99" s="189">
        <f>SUMIFS('Plan prihoda za unos u SAP'!$I$3:$I$501,'Plan prihoda za unos u SAP'!$C$3:$C$501,"=41",'Plan prihoda za unos u SAP'!$K$3:$K$501,"=639")</f>
        <v>0</v>
      </c>
      <c r="I99" s="189">
        <f>SUMIFS('Plan prihoda za unos u SAP'!$I$3:$I$501,'Plan prihoda za unos u SAP'!$C$3:$C$501,"=43",'Plan prihoda za unos u SAP'!$K$3:$K$501,"=639")</f>
        <v>0</v>
      </c>
      <c r="J99" s="189">
        <f>SUMIFS('Plan prihoda za unos u SAP'!$I$3:$I$501,'Plan prihoda za unos u SAP'!$C$3:$C$501,"=51",'Plan prihoda za unos u SAP'!$K$3:$K$501,"=639")</f>
        <v>0</v>
      </c>
      <c r="K99" s="189">
        <f>SUMIFS('Plan prihoda za unos u SAP'!$I$3:$I$501,'Plan prihoda za unos u SAP'!$C$3:$C$501,"=52",'Plan prihoda za unos u SAP'!$K$3:$K$501,"=639")</f>
        <v>0</v>
      </c>
      <c r="L99" s="189">
        <f>SUMIFS('Plan prihoda za unos u SAP'!$I$3:$I$501,'Plan prihoda za unos u SAP'!$C$3:$C$501,"=552",'Plan prihoda za unos u SAP'!$K$3:$K$501,"=639")</f>
        <v>0</v>
      </c>
      <c r="M99" s="189">
        <f>SUMIFS('Plan prihoda za unos u SAP'!$I$3:$I$501,'Plan prihoda za unos u SAP'!$C$3:$C$501,"=559",'Plan prihoda za unos u SAP'!$K$3:$K$501,"=639")</f>
        <v>0</v>
      </c>
      <c r="N99" s="189">
        <f>SUMIFS('Plan prihoda za unos u SAP'!$I$3:$I$501,'Plan prihoda za unos u SAP'!$C$3:$C$501,"=561",'Plan prihoda za unos u SAP'!$K$3:$K$501,"=639")</f>
        <v>0</v>
      </c>
      <c r="O99" s="189">
        <f>SUMIFS('Plan prihoda za unos u SAP'!$I$3:$I$501,'Plan prihoda za unos u SAP'!$C$3:$C$501,"=563",'Plan prihoda za unos u SAP'!$K$3:$K$501,"=639")</f>
        <v>0</v>
      </c>
      <c r="P99" s="189">
        <f>SUMIFS('Plan prihoda za unos u SAP'!$I$3:$I$501,'Plan prihoda za unos u SAP'!$C$3:$C$501,"=573",'Plan prihoda za unos u SAP'!$K$3:$K$501,"=639")</f>
        <v>0</v>
      </c>
      <c r="Q99" s="189">
        <f>SUMIFS('Plan prihoda za unos u SAP'!$I$3:$I$501,'Plan prihoda za unos u SAP'!$C$3:$C$501,"=575",'Plan prihoda za unos u SAP'!$K$3:$K$501,"=639")</f>
        <v>0</v>
      </c>
      <c r="R99" s="189">
        <f>SUMIFS('Plan prihoda za unos u SAP'!$I$3:$I$501,'Plan prihoda za unos u SAP'!$C$3:$C$501,"=576",'Plan prihoda za unos u SAP'!$K$3:$K$501,"=639")</f>
        <v>0</v>
      </c>
      <c r="S99" s="189">
        <f>SUMIFS('Plan prihoda za unos u SAP'!$I$3:$I$501,'Plan prihoda za unos u SAP'!$C$3:$C$501,"=61",'Plan prihoda za unos u SAP'!$K$3:$K$501,"=639")</f>
        <v>0</v>
      </c>
      <c r="T99" s="189">
        <f>SUMIFS('Plan prihoda za unos u SAP'!$I$3:$I$501,'Plan prihoda za unos u SAP'!$C$3:$C$501,"=63",'Plan prihoda za unos u SAP'!$K$3:$K$501,"=639")</f>
        <v>0</v>
      </c>
      <c r="U99" s="189">
        <f>SUMIFS('Plan prihoda za unos u SAP'!$I$3:$I$501,'Plan prihoda za unos u SAP'!$C$3:$C$501,"=71",'Plan prihoda za unos u SAP'!$K$3:$K$501,"=639")</f>
        <v>0</v>
      </c>
      <c r="V99" s="189">
        <f>SUMIFS('Plan prihoda za unos u SAP'!$I$3:$I$501,'Plan prihoda za unos u SAP'!$C$3:$C$501,"=81",'Plan prihoda za unos u SAP'!$K$3:$K$501,"=639")</f>
        <v>0</v>
      </c>
      <c r="W99" s="189">
        <f>SUMIFS('Plan prihoda za unos u SAP'!$I$3:$I$501,'Plan prihoda za unos u SAP'!$C$3:$C$501,"=83",'Plan prihoda za unos u SAP'!$K$3:$K$501,"=639")</f>
        <v>0</v>
      </c>
    </row>
    <row r="100" spans="1:23" s="90" customFormat="1">
      <c r="A100" s="90">
        <v>2023</v>
      </c>
      <c r="B100" s="95" t="s">
        <v>290</v>
      </c>
      <c r="C100" s="96" t="s">
        <v>291</v>
      </c>
      <c r="D100" s="70">
        <f t="shared" si="23"/>
        <v>100</v>
      </c>
      <c r="E100" s="189">
        <f>SUMIFS('Plan prihoda za unos u SAP'!$I$3:$I$501,'Plan prihoda za unos u SAP'!$C$3:$C$501,"=11",'Plan prihoda za unos u SAP'!$K$3:$K$501,"=641")</f>
        <v>0</v>
      </c>
      <c r="F100" s="189">
        <f>SUMIFS('Plan prihoda za unos u SAP'!$I$3:$I$501,'Plan prihoda za unos u SAP'!$C$3:$C$501,"=12",'Plan prihoda za unos u SAP'!$K$3:$K$501,"=641")</f>
        <v>0</v>
      </c>
      <c r="G100" s="189">
        <f>SUMIFS('Plan prihoda za unos u SAP'!$I$3:$I$501,'Plan prihoda za unos u SAP'!$C$3:$C$501,"=31",'Plan prihoda za unos u SAP'!$K$3:$K$501,"=641")</f>
        <v>100</v>
      </c>
      <c r="H100" s="189">
        <f>SUMIFS('Plan prihoda za unos u SAP'!$I$3:$I$501,'Plan prihoda za unos u SAP'!$C$3:$C$501,"=41",'Plan prihoda za unos u SAP'!$K$3:$K$501,"=641")</f>
        <v>0</v>
      </c>
      <c r="I100" s="189">
        <f>SUMIFS('Plan prihoda za unos u SAP'!$I$3:$I$501,'Plan prihoda za unos u SAP'!$C$3:$C$501,"=43",'Plan prihoda za unos u SAP'!$K$3:$K$501,"=641")</f>
        <v>0</v>
      </c>
      <c r="J100" s="189">
        <f>SUMIFS('Plan prihoda za unos u SAP'!$I$3:$I$501,'Plan prihoda za unos u SAP'!$C$3:$C$501,"=51",'Plan prihoda za unos u SAP'!$K$3:$K$501,"=641")</f>
        <v>0</v>
      </c>
      <c r="K100" s="189">
        <f>SUMIFS('Plan prihoda za unos u SAP'!$I$3:$I$501,'Plan prihoda za unos u SAP'!$C$3:$C$501,"=52",'Plan prihoda za unos u SAP'!$K$3:$K$501,"=641")</f>
        <v>0</v>
      </c>
      <c r="L100" s="189">
        <f>SUMIFS('Plan prihoda za unos u SAP'!$I$3:$I$501,'Plan prihoda za unos u SAP'!$C$3:$C$501,"=552",'Plan prihoda za unos u SAP'!$K$3:$K$501,"=641")</f>
        <v>0</v>
      </c>
      <c r="M100" s="189">
        <f>SUMIFS('Plan prihoda za unos u SAP'!$I$3:$I$501,'Plan prihoda za unos u SAP'!$C$3:$C$501,"=559",'Plan prihoda za unos u SAP'!$K$3:$K$501,"=641")</f>
        <v>0</v>
      </c>
      <c r="N100" s="189">
        <f>SUMIFS('Plan prihoda za unos u SAP'!$I$3:$I$501,'Plan prihoda za unos u SAP'!$C$3:$C$501,"=561",'Plan prihoda za unos u SAP'!$K$3:$K$501,"=641")</f>
        <v>0</v>
      </c>
      <c r="O100" s="189">
        <f>SUMIFS('Plan prihoda za unos u SAP'!$I$3:$I$501,'Plan prihoda za unos u SAP'!$C$3:$C$501,"=563",'Plan prihoda za unos u SAP'!$K$3:$K$501,"=641")</f>
        <v>0</v>
      </c>
      <c r="P100" s="189">
        <f>SUMIFS('Plan prihoda za unos u SAP'!$I$3:$I$501,'Plan prihoda za unos u SAP'!$C$3:$C$501,"=573",'Plan prihoda za unos u SAP'!$K$3:$K$501,"=641")</f>
        <v>0</v>
      </c>
      <c r="Q100" s="189">
        <f>SUMIFS('Plan prihoda za unos u SAP'!$I$3:$I$501,'Plan prihoda za unos u SAP'!$C$3:$C$501,"=575",'Plan prihoda za unos u SAP'!$K$3:$K$501,"=641")</f>
        <v>0</v>
      </c>
      <c r="R100" s="189">
        <f>SUMIFS('Plan prihoda za unos u SAP'!$I$3:$I$501,'Plan prihoda za unos u SAP'!$C$3:$C$501,"=576",'Plan prihoda za unos u SAP'!$K$3:$K$501,"=641")</f>
        <v>0</v>
      </c>
      <c r="S100" s="189">
        <f>SUMIFS('Plan prihoda za unos u SAP'!$I$3:$I$501,'Plan prihoda za unos u SAP'!$C$3:$C$501,"=61",'Plan prihoda za unos u SAP'!$K$3:$K$501,"=641")</f>
        <v>0</v>
      </c>
      <c r="T100" s="189">
        <f>SUMIFS('Plan prihoda za unos u SAP'!$I$3:$I$501,'Plan prihoda za unos u SAP'!$C$3:$C$501,"=63",'Plan prihoda za unos u SAP'!$K$3:$K$501,"=641")</f>
        <v>0</v>
      </c>
      <c r="U100" s="189">
        <f>SUMIFS('Plan prihoda za unos u SAP'!$I$3:$I$501,'Plan prihoda za unos u SAP'!$C$3:$C$501,"=71",'Plan prihoda za unos u SAP'!$K$3:$K$501,"=641")</f>
        <v>0</v>
      </c>
      <c r="V100" s="189">
        <f>SUMIFS('Plan prihoda za unos u SAP'!$I$3:$I$501,'Plan prihoda za unos u SAP'!$C$3:$C$501,"=81",'Plan prihoda za unos u SAP'!$K$3:$K$501,"=641")</f>
        <v>0</v>
      </c>
      <c r="W100" s="189">
        <f>SUMIFS('Plan prihoda za unos u SAP'!$I$3:$I$501,'Plan prihoda za unos u SAP'!$C$3:$C$501,"=83",'Plan prihoda za unos u SAP'!$K$3:$K$501,"=641")</f>
        <v>0</v>
      </c>
    </row>
    <row r="101" spans="1:23" s="90" customFormat="1">
      <c r="A101" s="90">
        <v>2023</v>
      </c>
      <c r="B101" s="95" t="s">
        <v>292</v>
      </c>
      <c r="C101" s="96" t="s">
        <v>293</v>
      </c>
      <c r="D101" s="70">
        <f t="shared" si="23"/>
        <v>0</v>
      </c>
      <c r="E101" s="189">
        <f>SUMIFS('Plan prihoda za unos u SAP'!$I$3:$I$501,'Plan prihoda za unos u SAP'!$C$3:$C$501,"=11",'Plan prihoda za unos u SAP'!$K$3:$K$501,"=642")</f>
        <v>0</v>
      </c>
      <c r="F101" s="189">
        <f>SUMIFS('Plan prihoda za unos u SAP'!$I$3:$I$501,'Plan prihoda za unos u SAP'!$C$3:$C$501,"=12",'Plan prihoda za unos u SAP'!$K$3:$K$501,"=642")</f>
        <v>0</v>
      </c>
      <c r="G101" s="189">
        <f>SUMIFS('Plan prihoda za unos u SAP'!$I$3:$I$501,'Plan prihoda za unos u SAP'!$C$3:$C$501,"=31",'Plan prihoda za unos u SAP'!$K$3:$K$501,"=642")</f>
        <v>0</v>
      </c>
      <c r="H101" s="189">
        <f>SUMIFS('Plan prihoda za unos u SAP'!$I$3:$I$501,'Plan prihoda za unos u SAP'!$C$3:$C$501,"=41",'Plan prihoda za unos u SAP'!$K$3:$K$501,"=642")</f>
        <v>0</v>
      </c>
      <c r="I101" s="189">
        <f>SUMIFS('Plan prihoda za unos u SAP'!$I$3:$I$501,'Plan prihoda za unos u SAP'!$C$3:$C$501,"=43",'Plan prihoda za unos u SAP'!$K$3:$K$501,"=642")</f>
        <v>0</v>
      </c>
      <c r="J101" s="189">
        <f>SUMIFS('Plan prihoda za unos u SAP'!$I$3:$I$501,'Plan prihoda za unos u SAP'!$C$3:$C$501,"=51",'Plan prihoda za unos u SAP'!$K$3:$K$501,"=642")</f>
        <v>0</v>
      </c>
      <c r="K101" s="189">
        <f>SUMIFS('Plan prihoda za unos u SAP'!$I$3:$I$501,'Plan prihoda za unos u SAP'!$C$3:$C$501,"=52",'Plan prihoda za unos u SAP'!$K$3:$K$501,"=642")</f>
        <v>0</v>
      </c>
      <c r="L101" s="189">
        <f>SUMIFS('Plan prihoda za unos u SAP'!$I$3:$I$501,'Plan prihoda za unos u SAP'!$C$3:$C$501,"=552",'Plan prihoda za unos u SAP'!$K$3:$K$501,"=642")</f>
        <v>0</v>
      </c>
      <c r="M101" s="189">
        <f>SUMIFS('Plan prihoda za unos u SAP'!$I$3:$I$501,'Plan prihoda za unos u SAP'!$C$3:$C$501,"=559",'Plan prihoda za unos u SAP'!$K$3:$K$501,"=642")</f>
        <v>0</v>
      </c>
      <c r="N101" s="189">
        <f>SUMIFS('Plan prihoda za unos u SAP'!$I$3:$I$501,'Plan prihoda za unos u SAP'!$C$3:$C$501,"=561",'Plan prihoda za unos u SAP'!$K$3:$K$501,"=642")</f>
        <v>0</v>
      </c>
      <c r="O101" s="189">
        <f>SUMIFS('Plan prihoda za unos u SAP'!$I$3:$I$501,'Plan prihoda za unos u SAP'!$C$3:$C$501,"=563",'Plan prihoda za unos u SAP'!$K$3:$K$501,"=642")</f>
        <v>0</v>
      </c>
      <c r="P101" s="189">
        <f>SUMIFS('Plan prihoda za unos u SAP'!$I$3:$I$501,'Plan prihoda za unos u SAP'!$C$3:$C$501,"=573",'Plan prihoda za unos u SAP'!$K$3:$K$501,"=642")</f>
        <v>0</v>
      </c>
      <c r="Q101" s="189">
        <f>SUMIFS('Plan prihoda za unos u SAP'!$I$3:$I$501,'Plan prihoda za unos u SAP'!$C$3:$C$501,"=575",'Plan prihoda za unos u SAP'!$K$3:$K$501,"=642")</f>
        <v>0</v>
      </c>
      <c r="R101" s="189">
        <f>SUMIFS('Plan prihoda za unos u SAP'!$I$3:$I$501,'Plan prihoda za unos u SAP'!$C$3:$C$501,"=576",'Plan prihoda za unos u SAP'!$K$3:$K$501,"=642")</f>
        <v>0</v>
      </c>
      <c r="S101" s="189">
        <f>SUMIFS('Plan prihoda za unos u SAP'!$I$3:$I$501,'Plan prihoda za unos u SAP'!$C$3:$C$501,"=61",'Plan prihoda za unos u SAP'!$K$3:$K$501,"=642")</f>
        <v>0</v>
      </c>
      <c r="T101" s="189">
        <f>SUMIFS('Plan prihoda za unos u SAP'!$I$3:$I$501,'Plan prihoda za unos u SAP'!$C$3:$C$501,"=63",'Plan prihoda za unos u SAP'!$K$3:$K$501,"=642")</f>
        <v>0</v>
      </c>
      <c r="U101" s="189">
        <f>SUMIFS('Plan prihoda za unos u SAP'!$I$3:$I$501,'Plan prihoda za unos u SAP'!$C$3:$C$501,"=71",'Plan prihoda za unos u SAP'!$K$3:$K$501,"=642")</f>
        <v>0</v>
      </c>
      <c r="V101" s="189">
        <f>SUMIFS('Plan prihoda za unos u SAP'!$I$3:$I$501,'Plan prihoda za unos u SAP'!$C$3:$C$501,"=81",'Plan prihoda za unos u SAP'!$K$3:$K$501,"=642")</f>
        <v>0</v>
      </c>
      <c r="W101" s="189">
        <f>SUMIFS('Plan prihoda za unos u SAP'!$I$3:$I$501,'Plan prihoda za unos u SAP'!$C$3:$C$501,"=83",'Plan prihoda za unos u SAP'!$K$3:$K$501,"=642")</f>
        <v>0</v>
      </c>
    </row>
    <row r="102" spans="1:23" s="90" customFormat="1">
      <c r="A102" s="90">
        <v>2023</v>
      </c>
      <c r="B102" s="215" t="s">
        <v>765</v>
      </c>
      <c r="C102" s="96" t="s">
        <v>764</v>
      </c>
      <c r="D102" s="70">
        <f t="shared" si="23"/>
        <v>0</v>
      </c>
      <c r="E102" s="189">
        <f>SUMIFS('Plan prihoda za unos u SAP'!$I$3:$I$501,'Plan prihoda za unos u SAP'!$C$3:$C$501,"=11",'Plan prihoda za unos u SAP'!$K$3:$K$501,"=651")</f>
        <v>0</v>
      </c>
      <c r="F102" s="189">
        <f>SUMIFS('Plan prihoda za unos u SAP'!$I$3:$I$501,'Plan prihoda za unos u SAP'!$C$3:$C$501,"=12",'Plan prihoda za unos u SAP'!$K$3:$K$501,"=651")</f>
        <v>0</v>
      </c>
      <c r="G102" s="189">
        <f>SUMIFS('Plan prihoda za unos u SAP'!$I$3:$I$501,'Plan prihoda za unos u SAP'!$C$3:$C$501,"=31",'Plan prihoda za unos u SAP'!$K$3:$K$501,"=651")</f>
        <v>0</v>
      </c>
      <c r="H102" s="189">
        <f>SUMIFS('Plan prihoda za unos u SAP'!$I$3:$I$501,'Plan prihoda za unos u SAP'!$C$3:$C$501,"=41",'Plan prihoda za unos u SAP'!$K$3:$K$501,"=651")</f>
        <v>0</v>
      </c>
      <c r="I102" s="189">
        <f>SUMIFS('Plan prihoda za unos u SAP'!$I$3:$I$501,'Plan prihoda za unos u SAP'!$C$3:$C$501,"=43",'Plan prihoda za unos u SAP'!$K$3:$K$501,"=651")</f>
        <v>0</v>
      </c>
      <c r="J102" s="189">
        <f>SUMIFS('Plan prihoda za unos u SAP'!$I$3:$I$501,'Plan prihoda za unos u SAP'!$C$3:$C$501,"=51",'Plan prihoda za unos u SAP'!$K$3:$K$501,"=651")</f>
        <v>0</v>
      </c>
      <c r="K102" s="189">
        <f>SUMIFS('Plan prihoda za unos u SAP'!$I$3:$I$501,'Plan prihoda za unos u SAP'!$C$3:$C$501,"=52",'Plan prihoda za unos u SAP'!$K$3:$K$501,"=651")</f>
        <v>0</v>
      </c>
      <c r="L102" s="189">
        <f>SUMIFS('Plan prihoda za unos u SAP'!$I$3:$I$501,'Plan prihoda za unos u SAP'!$C$3:$C$501,"=552",'Plan prihoda za unos u SAP'!$K$3:$K$501,"=651")</f>
        <v>0</v>
      </c>
      <c r="M102" s="189">
        <f>SUMIFS('Plan prihoda za unos u SAP'!$I$3:$I$501,'Plan prihoda za unos u SAP'!$C$3:$C$501,"=559",'Plan prihoda za unos u SAP'!$K$3:$K$501,"=651")</f>
        <v>0</v>
      </c>
      <c r="N102" s="189">
        <f>SUMIFS('Plan prihoda za unos u SAP'!$I$3:$I$501,'Plan prihoda za unos u SAP'!$C$3:$C$501,"=561",'Plan prihoda za unos u SAP'!$K$3:$K$501,"=651")</f>
        <v>0</v>
      </c>
      <c r="O102" s="189">
        <f>SUMIFS('Plan prihoda za unos u SAP'!$I$3:$I$501,'Plan prihoda za unos u SAP'!$C$3:$C$501,"=563",'Plan prihoda za unos u SAP'!$K$3:$K$501,"=651")</f>
        <v>0</v>
      </c>
      <c r="P102" s="189">
        <f>SUMIFS('Plan prihoda za unos u SAP'!$I$3:$I$501,'Plan prihoda za unos u SAP'!$C$3:$C$501,"=573",'Plan prihoda za unos u SAP'!$K$3:$K$501,"=651")</f>
        <v>0</v>
      </c>
      <c r="Q102" s="189">
        <f>SUMIFS('Plan prihoda za unos u SAP'!$I$3:$I$501,'Plan prihoda za unos u SAP'!$C$3:$C$501,"=575",'Plan prihoda za unos u SAP'!$K$3:$K$501,"=651")</f>
        <v>0</v>
      </c>
      <c r="R102" s="189">
        <f>SUMIFS('Plan prihoda za unos u SAP'!$I$3:$I$501,'Plan prihoda za unos u SAP'!$C$3:$C$501,"=576",'Plan prihoda za unos u SAP'!$K$3:$K$501,"=651")</f>
        <v>0</v>
      </c>
      <c r="S102" s="189">
        <f>SUMIFS('Plan prihoda za unos u SAP'!$I$3:$I$501,'Plan prihoda za unos u SAP'!$C$3:$C$501,"=61",'Plan prihoda za unos u SAP'!$K$3:$K$501,"=651")</f>
        <v>0</v>
      </c>
      <c r="T102" s="189">
        <f>SUMIFS('Plan prihoda za unos u SAP'!$I$3:$I$501,'Plan prihoda za unos u SAP'!$C$3:$C$501,"=63",'Plan prihoda za unos u SAP'!$K$3:$K$501,"=651")</f>
        <v>0</v>
      </c>
      <c r="U102" s="189">
        <f>SUMIFS('Plan prihoda za unos u SAP'!$I$3:$I$501,'Plan prihoda za unos u SAP'!$C$3:$C$501,"=71",'Plan prihoda za unos u SAP'!$K$3:$K$501,"=651")</f>
        <v>0</v>
      </c>
      <c r="V102" s="189">
        <f>SUMIFS('Plan prihoda za unos u SAP'!$I$3:$I$501,'Plan prihoda za unos u SAP'!$C$3:$C$501,"=81",'Plan prihoda za unos u SAP'!$K$3:$K$501,"=651")</f>
        <v>0</v>
      </c>
      <c r="W102" s="189">
        <f>SUMIFS('Plan prihoda za unos u SAP'!$I$3:$I$501,'Plan prihoda za unos u SAP'!$C$3:$C$501,"=83",'Plan prihoda za unos u SAP'!$K$3:$K$501,"=651")</f>
        <v>0</v>
      </c>
    </row>
    <row r="103" spans="1:23" s="90" customFormat="1">
      <c r="A103" s="90">
        <v>2023</v>
      </c>
      <c r="B103" s="95" t="s">
        <v>294</v>
      </c>
      <c r="C103" s="96" t="s">
        <v>295</v>
      </c>
      <c r="D103" s="70">
        <f t="shared" si="23"/>
        <v>496350</v>
      </c>
      <c r="E103" s="189">
        <f>SUMIFS('Plan prihoda za unos u SAP'!$I$3:$I$501,'Plan prihoda za unos u SAP'!$C$3:$C$501,"=11",'Plan prihoda za unos u SAP'!$K$3:$K$501,"=652")</f>
        <v>0</v>
      </c>
      <c r="F103" s="189">
        <f>SUMIFS('Plan prihoda za unos u SAP'!$I$3:$I$501,'Plan prihoda za unos u SAP'!$C$3:$C$501,"=12",'Plan prihoda za unos u SAP'!$K$3:$K$501,"=652")</f>
        <v>0</v>
      </c>
      <c r="G103" s="189">
        <f>SUMIFS('Plan prihoda za unos u SAP'!$I$3:$I$501,'Plan prihoda za unos u SAP'!$C$3:$C$501,"=31",'Plan prihoda za unos u SAP'!$K$3:$K$501,"=652")</f>
        <v>0</v>
      </c>
      <c r="H103" s="189">
        <f>SUMIFS('Plan prihoda za unos u SAP'!$I$3:$I$501,'Plan prihoda za unos u SAP'!$C$3:$C$501,"=41",'Plan prihoda za unos u SAP'!$K$3:$K$501,"=652")</f>
        <v>0</v>
      </c>
      <c r="I103" s="189">
        <f>SUMIFS('Plan prihoda za unos u SAP'!$I$3:$I$501,'Plan prihoda za unos u SAP'!$C$3:$C$501,"=43",'Plan prihoda za unos u SAP'!$K$3:$K$501,"=652")</f>
        <v>496350</v>
      </c>
      <c r="J103" s="189">
        <f>SUMIFS('Plan prihoda za unos u SAP'!$I$3:$I$501,'Plan prihoda za unos u SAP'!$C$3:$C$501,"=51",'Plan prihoda za unos u SAP'!$K$3:$K$501,"=652")</f>
        <v>0</v>
      </c>
      <c r="K103" s="189">
        <f>SUMIFS('Plan prihoda za unos u SAP'!$I$3:$I$501,'Plan prihoda za unos u SAP'!$C$3:$C$501,"=52",'Plan prihoda za unos u SAP'!$K$3:$K$501,"=652")</f>
        <v>0</v>
      </c>
      <c r="L103" s="189">
        <f>SUMIFS('Plan prihoda za unos u SAP'!$I$3:$I$501,'Plan prihoda za unos u SAP'!$C$3:$C$501,"=552",'Plan prihoda za unos u SAP'!$K$3:$K$501,"=652")</f>
        <v>0</v>
      </c>
      <c r="M103" s="189">
        <f>SUMIFS('Plan prihoda za unos u SAP'!$I$3:$I$501,'Plan prihoda za unos u SAP'!$C$3:$C$501,"=559",'Plan prihoda za unos u SAP'!$K$3:$K$501,"=652")</f>
        <v>0</v>
      </c>
      <c r="N103" s="189">
        <f>SUMIFS('Plan prihoda za unos u SAP'!$I$3:$I$501,'Plan prihoda za unos u SAP'!$C$3:$C$501,"=561",'Plan prihoda za unos u SAP'!$K$3:$K$501,"=652")</f>
        <v>0</v>
      </c>
      <c r="O103" s="189">
        <f>SUMIFS('Plan prihoda za unos u SAP'!$I$3:$I$501,'Plan prihoda za unos u SAP'!$C$3:$C$501,"=563",'Plan prihoda za unos u SAP'!$K$3:$K$501,"=652")</f>
        <v>0</v>
      </c>
      <c r="P103" s="189">
        <f>SUMIFS('Plan prihoda za unos u SAP'!$I$3:$I$501,'Plan prihoda za unos u SAP'!$C$3:$C$501,"=573",'Plan prihoda za unos u SAP'!$K$3:$K$501,"=652")</f>
        <v>0</v>
      </c>
      <c r="Q103" s="189">
        <f>SUMIFS('Plan prihoda za unos u SAP'!$I$3:$I$501,'Plan prihoda za unos u SAP'!$C$3:$C$501,"=575",'Plan prihoda za unos u SAP'!$K$3:$K$501,"=652")</f>
        <v>0</v>
      </c>
      <c r="R103" s="189">
        <f>SUMIFS('Plan prihoda za unos u SAP'!$I$3:$I$501,'Plan prihoda za unos u SAP'!$C$3:$C$501,"=576",'Plan prihoda za unos u SAP'!$K$3:$K$501,"=652")</f>
        <v>0</v>
      </c>
      <c r="S103" s="189">
        <f>SUMIFS('Plan prihoda za unos u SAP'!$I$3:$I$501,'Plan prihoda za unos u SAP'!$C$3:$C$501,"=61",'Plan prihoda za unos u SAP'!$K$3:$K$501,"=652")</f>
        <v>0</v>
      </c>
      <c r="T103" s="189">
        <f>SUMIFS('Plan prihoda za unos u SAP'!$I$3:$I$501,'Plan prihoda za unos u SAP'!$C$3:$C$501,"=63",'Plan prihoda za unos u SAP'!$K$3:$K$501,"=652")</f>
        <v>0</v>
      </c>
      <c r="U103" s="189">
        <f>SUMIFS('Plan prihoda za unos u SAP'!$I$3:$I$501,'Plan prihoda za unos u SAP'!$C$3:$C$501,"=71",'Plan prihoda za unos u SAP'!$K$3:$K$501,"=652")</f>
        <v>0</v>
      </c>
      <c r="V103" s="189">
        <f>SUMIFS('Plan prihoda za unos u SAP'!$I$3:$I$501,'Plan prihoda za unos u SAP'!$C$3:$C$501,"=81",'Plan prihoda za unos u SAP'!$K$3:$K$501,"=652")</f>
        <v>0</v>
      </c>
      <c r="W103" s="189">
        <f>SUMIFS('Plan prihoda za unos u SAP'!$I$3:$I$501,'Plan prihoda za unos u SAP'!$C$3:$C$501,"=83",'Plan prihoda za unos u SAP'!$K$3:$K$501,"=652")</f>
        <v>0</v>
      </c>
    </row>
    <row r="104" spans="1:23" s="90" customFormat="1">
      <c r="A104" s="90">
        <v>2023</v>
      </c>
      <c r="B104" s="95" t="s">
        <v>296</v>
      </c>
      <c r="C104" s="96" t="s">
        <v>297</v>
      </c>
      <c r="D104" s="70">
        <f t="shared" si="23"/>
        <v>77000</v>
      </c>
      <c r="E104" s="189">
        <f>SUMIFS('Plan prihoda za unos u SAP'!$I$3:$I$501,'Plan prihoda za unos u SAP'!$C$3:$C$501,"=11",'Plan prihoda za unos u SAP'!$K$3:$K$501,"=661")</f>
        <v>0</v>
      </c>
      <c r="F104" s="189">
        <f>SUMIFS('Plan prihoda za unos u SAP'!$I$3:$I$501,'Plan prihoda za unos u SAP'!$C$3:$C$501,"=12",'Plan prihoda za unos u SAP'!$K$3:$K$501,"=661")</f>
        <v>0</v>
      </c>
      <c r="G104" s="189">
        <f>SUMIFS('Plan prihoda za unos u SAP'!$I$3:$I$501,'Plan prihoda za unos u SAP'!$C$3:$C$501,"=31",'Plan prihoda za unos u SAP'!$K$3:$K$501,"=661")</f>
        <v>77000</v>
      </c>
      <c r="H104" s="189">
        <f>SUMIFS('Plan prihoda za unos u SAP'!$I$3:$I$501,'Plan prihoda za unos u SAP'!$C$3:$C$501,"=41",'Plan prihoda za unos u SAP'!$K$3:$K$501,"=661")</f>
        <v>0</v>
      </c>
      <c r="I104" s="189">
        <f>SUMIFS('Plan prihoda za unos u SAP'!$I$3:$I$501,'Plan prihoda za unos u SAP'!$C$3:$C$501,"=43",'Plan prihoda za unos u SAP'!$K$3:$K$501,"=661")</f>
        <v>0</v>
      </c>
      <c r="J104" s="189">
        <f>SUMIFS('Plan prihoda za unos u SAP'!$I$3:$I$501,'Plan prihoda za unos u SAP'!$C$3:$C$501,"=51",'Plan prihoda za unos u SAP'!$K$3:$K$501,"=661")</f>
        <v>0</v>
      </c>
      <c r="K104" s="189">
        <f>SUMIFS('Plan prihoda za unos u SAP'!$I$3:$I$501,'Plan prihoda za unos u SAP'!$C$3:$C$501,"=52",'Plan prihoda za unos u SAP'!$K$3:$K$501,"=661")</f>
        <v>0</v>
      </c>
      <c r="L104" s="189">
        <f>SUMIFS('Plan prihoda za unos u SAP'!$I$3:$I$501,'Plan prihoda za unos u SAP'!$C$3:$C$501,"=552",'Plan prihoda za unos u SAP'!$K$3:$K$501,"=661")</f>
        <v>0</v>
      </c>
      <c r="M104" s="189">
        <f>SUMIFS('Plan prihoda za unos u SAP'!$I$3:$I$501,'Plan prihoda za unos u SAP'!$C$3:$C$501,"=559",'Plan prihoda za unos u SAP'!$K$3:$K$501,"=661")</f>
        <v>0</v>
      </c>
      <c r="N104" s="189">
        <f>SUMIFS('Plan prihoda za unos u SAP'!$I$3:$I$501,'Plan prihoda za unos u SAP'!$C$3:$C$501,"=561",'Plan prihoda za unos u SAP'!$K$3:$K$501,"=661")</f>
        <v>0</v>
      </c>
      <c r="O104" s="189">
        <f>SUMIFS('Plan prihoda za unos u SAP'!$I$3:$I$501,'Plan prihoda za unos u SAP'!$C$3:$C$501,"=563",'Plan prihoda za unos u SAP'!$K$3:$K$501,"=661")</f>
        <v>0</v>
      </c>
      <c r="P104" s="189">
        <f>SUMIFS('Plan prihoda za unos u SAP'!$I$3:$I$501,'Plan prihoda za unos u SAP'!$C$3:$C$501,"=573",'Plan prihoda za unos u SAP'!$K$3:$K$501,"=661")</f>
        <v>0</v>
      </c>
      <c r="Q104" s="189">
        <f>SUMIFS('Plan prihoda za unos u SAP'!$I$3:$I$501,'Plan prihoda za unos u SAP'!$C$3:$C$501,"=575",'Plan prihoda za unos u SAP'!$K$3:$K$501,"=661")</f>
        <v>0</v>
      </c>
      <c r="R104" s="189">
        <f>SUMIFS('Plan prihoda za unos u SAP'!$I$3:$I$501,'Plan prihoda za unos u SAP'!$C$3:$C$501,"=576",'Plan prihoda za unos u SAP'!$K$3:$K$501,"=661")</f>
        <v>0</v>
      </c>
      <c r="S104" s="189">
        <f>SUMIFS('Plan prihoda za unos u SAP'!$I$3:$I$501,'Plan prihoda za unos u SAP'!$C$3:$C$501,"=61",'Plan prihoda za unos u SAP'!$K$3:$K$501,"=661")</f>
        <v>0</v>
      </c>
      <c r="T104" s="189">
        <f>SUMIFS('Plan prihoda za unos u SAP'!$I$3:$I$501,'Plan prihoda za unos u SAP'!$C$3:$C$501,"=63",'Plan prihoda za unos u SAP'!$K$3:$K$501,"=661")</f>
        <v>0</v>
      </c>
      <c r="U104" s="189">
        <f>SUMIFS('Plan prihoda za unos u SAP'!$I$3:$I$501,'Plan prihoda za unos u SAP'!$C$3:$C$501,"=71",'Plan prihoda za unos u SAP'!$K$3:$K$501,"=661")</f>
        <v>0</v>
      </c>
      <c r="V104" s="189">
        <f>SUMIFS('Plan prihoda za unos u SAP'!$I$3:$I$501,'Plan prihoda za unos u SAP'!$C$3:$C$501,"=81",'Plan prihoda za unos u SAP'!$K$3:$K$501,"=661")</f>
        <v>0</v>
      </c>
      <c r="W104" s="189">
        <f>SUMIFS('Plan prihoda za unos u SAP'!$I$3:$I$501,'Plan prihoda za unos u SAP'!$C$3:$C$501,"=83",'Plan prihoda za unos u SAP'!$K$3:$K$501,"=661")</f>
        <v>0</v>
      </c>
    </row>
    <row r="105" spans="1:23" s="90" customFormat="1">
      <c r="A105" s="90">
        <v>2023</v>
      </c>
      <c r="B105" s="95" t="s">
        <v>298</v>
      </c>
      <c r="C105" s="96" t="s">
        <v>299</v>
      </c>
      <c r="D105" s="70">
        <f t="shared" si="23"/>
        <v>0</v>
      </c>
      <c r="E105" s="189">
        <f>SUMIFS('Plan prihoda za unos u SAP'!$I$3:$I$501,'Plan prihoda za unos u SAP'!$C$3:$C$501,"=11",'Plan prihoda za unos u SAP'!$K$3:$K$501,"=663")</f>
        <v>0</v>
      </c>
      <c r="F105" s="189">
        <f>SUMIFS('Plan prihoda za unos u SAP'!$I$3:$I$501,'Plan prihoda za unos u SAP'!$C$3:$C$501,"=12",'Plan prihoda za unos u SAP'!$K$3:$K$501,"=663")</f>
        <v>0</v>
      </c>
      <c r="G105" s="189">
        <f>SUMIFS('Plan prihoda za unos u SAP'!$I$3:$I$501,'Plan prihoda za unos u SAP'!$C$3:$C$501,"=31",'Plan prihoda za unos u SAP'!$K$3:$K$501,"=663")</f>
        <v>0</v>
      </c>
      <c r="H105" s="189">
        <f>SUMIFS('Plan prihoda za unos u SAP'!$I$3:$I$501,'Plan prihoda za unos u SAP'!$C$3:$C$501,"=41",'Plan prihoda za unos u SAP'!$K$3:$K$501,"=663")</f>
        <v>0</v>
      </c>
      <c r="I105" s="189">
        <f>SUMIFS('Plan prihoda za unos u SAP'!$I$3:$I$501,'Plan prihoda za unos u SAP'!$C$3:$C$501,"=43",'Plan prihoda za unos u SAP'!$K$3:$K$501,"=663")</f>
        <v>0</v>
      </c>
      <c r="J105" s="189">
        <f>SUMIFS('Plan prihoda za unos u SAP'!$I$3:$I$501,'Plan prihoda za unos u SAP'!$C$3:$C$501,"=51",'Plan prihoda za unos u SAP'!$K$3:$K$501,"=663")</f>
        <v>0</v>
      </c>
      <c r="K105" s="189">
        <f>SUMIFS('Plan prihoda za unos u SAP'!$I$3:$I$501,'Plan prihoda za unos u SAP'!$C$3:$C$501,"=52",'Plan prihoda za unos u SAP'!$K$3:$K$501,"=663")</f>
        <v>0</v>
      </c>
      <c r="L105" s="189">
        <f>SUMIFS('Plan prihoda za unos u SAP'!$I$3:$I$501,'Plan prihoda za unos u SAP'!$C$3:$C$501,"=552",'Plan prihoda za unos u SAP'!$K$3:$K$501,"=663")</f>
        <v>0</v>
      </c>
      <c r="M105" s="189">
        <f>SUMIFS('Plan prihoda za unos u SAP'!$I$3:$I$501,'Plan prihoda za unos u SAP'!$C$3:$C$501,"=559",'Plan prihoda za unos u SAP'!$K$3:$K$501,"=663")</f>
        <v>0</v>
      </c>
      <c r="N105" s="189">
        <f>SUMIFS('Plan prihoda za unos u SAP'!$I$3:$I$501,'Plan prihoda za unos u SAP'!$C$3:$C$501,"=561",'Plan prihoda za unos u SAP'!$K$3:$K$501,"=663")</f>
        <v>0</v>
      </c>
      <c r="O105" s="189">
        <f>SUMIFS('Plan prihoda za unos u SAP'!$I$3:$I$501,'Plan prihoda za unos u SAP'!$C$3:$C$501,"=563",'Plan prihoda za unos u SAP'!$K$3:$K$501,"=663")</f>
        <v>0</v>
      </c>
      <c r="P105" s="189">
        <f>SUMIFS('Plan prihoda za unos u SAP'!$I$3:$I$501,'Plan prihoda za unos u SAP'!$C$3:$C$501,"=573",'Plan prihoda za unos u SAP'!$K$3:$K$501,"=663")</f>
        <v>0</v>
      </c>
      <c r="Q105" s="189">
        <f>SUMIFS('Plan prihoda za unos u SAP'!$I$3:$I$501,'Plan prihoda za unos u SAP'!$C$3:$C$501,"=575",'Plan prihoda za unos u SAP'!$K$3:$K$501,"=663")</f>
        <v>0</v>
      </c>
      <c r="R105" s="189">
        <f>SUMIFS('Plan prihoda za unos u SAP'!$I$3:$I$501,'Plan prihoda za unos u SAP'!$C$3:$C$501,"=576",'Plan prihoda za unos u SAP'!$K$3:$K$501,"=663")</f>
        <v>0</v>
      </c>
      <c r="S105" s="189">
        <f>SUMIFS('Plan prihoda za unos u SAP'!$I$3:$I$501,'Plan prihoda za unos u SAP'!$C$3:$C$501,"=61",'Plan prihoda za unos u SAP'!$K$3:$K$501,"=663")</f>
        <v>0</v>
      </c>
      <c r="T105" s="189">
        <f>SUMIFS('Plan prihoda za unos u SAP'!$I$3:$I$501,'Plan prihoda za unos u SAP'!$C$3:$C$501,"=63",'Plan prihoda za unos u SAP'!$K$3:$K$501,"=663")</f>
        <v>0</v>
      </c>
      <c r="U105" s="189">
        <f>SUMIFS('Plan prihoda za unos u SAP'!$I$3:$I$501,'Plan prihoda za unos u SAP'!$C$3:$C$501,"=71",'Plan prihoda za unos u SAP'!$K$3:$K$501,"=663")</f>
        <v>0</v>
      </c>
      <c r="V105" s="189">
        <f>SUMIFS('Plan prihoda za unos u SAP'!$I$3:$I$501,'Plan prihoda za unos u SAP'!$C$3:$C$501,"=81",'Plan prihoda za unos u SAP'!$K$3:$K$501,"=663")</f>
        <v>0</v>
      </c>
      <c r="W105" s="189">
        <f>SUMIFS('Plan prihoda za unos u SAP'!$I$3:$I$501,'Plan prihoda za unos u SAP'!$C$3:$C$501,"=83",'Plan prihoda za unos u SAP'!$K$3:$K$501,"=663")</f>
        <v>0</v>
      </c>
    </row>
    <row r="106" spans="1:23" s="90" customFormat="1">
      <c r="A106" s="90">
        <v>2023</v>
      </c>
      <c r="B106" s="95" t="s">
        <v>300</v>
      </c>
      <c r="C106" s="129" t="s">
        <v>260</v>
      </c>
      <c r="D106" s="70">
        <f t="shared" si="23"/>
        <v>7978703</v>
      </c>
      <c r="E106" s="189">
        <f>SUMIFS('Plan prihoda za unos u SAP'!$I$3:$I$501,'Plan prihoda za unos u SAP'!$C$3:$C$501,"=11",'Plan prihoda za unos u SAP'!$K$3:$K$501,"=671")</f>
        <v>7978703</v>
      </c>
      <c r="F106" s="189">
        <f>SUMIFS('Plan prihoda za unos u SAP'!$I$3:$I$501,'Plan prihoda za unos u SAP'!$C$3:$C$501,"=12",'Plan prihoda za unos u SAP'!$K$3:$K$501,"=671")</f>
        <v>0</v>
      </c>
      <c r="G106" s="189">
        <f>SUMIFS('Plan prihoda za unos u SAP'!$I$3:$I$501,'Plan prihoda za unos u SAP'!$C$3:$C$501,"=31",'Plan prihoda za unos u SAP'!$K$3:$K$501,"=671")</f>
        <v>0</v>
      </c>
      <c r="H106" s="189">
        <f>SUMIFS('Plan prihoda za unos u SAP'!$I$3:$I$501,'Plan prihoda za unos u SAP'!$C$3:$C$501,"=41",'Plan prihoda za unos u SAP'!$K$3:$K$501,"=671")</f>
        <v>0</v>
      </c>
      <c r="I106" s="189">
        <f>SUMIFS('Plan prihoda za unos u SAP'!$I$3:$I$501,'Plan prihoda za unos u SAP'!$C$3:$C$501,"=43",'Plan prihoda za unos u SAP'!$K$3:$K$501,"=671")</f>
        <v>0</v>
      </c>
      <c r="J106" s="189">
        <f>SUMIFS('Plan prihoda za unos u SAP'!$I$3:$I$501,'Plan prihoda za unos u SAP'!$C$3:$C$501,"=51",'Plan prihoda za unos u SAP'!$K$3:$K$501,"=671")</f>
        <v>0</v>
      </c>
      <c r="K106" s="189">
        <f>SUMIFS('Plan prihoda za unos u SAP'!$I$3:$I$501,'Plan prihoda za unos u SAP'!$C$3:$C$501,"=52",'Plan prihoda za unos u SAP'!$K$3:$K$501,"=671")</f>
        <v>0</v>
      </c>
      <c r="L106" s="189">
        <f>SUMIFS('Plan prihoda za unos u SAP'!$I$3:$I$501,'Plan prihoda za unos u SAP'!$C$3:$C$501,"=552",'Plan prihoda za unos u SAP'!$K$3:$K$501,"=671")</f>
        <v>0</v>
      </c>
      <c r="M106" s="189">
        <f>SUMIFS('Plan prihoda za unos u SAP'!$I$3:$I$501,'Plan prihoda za unos u SAP'!$C$3:$C$501,"=559",'Plan prihoda za unos u SAP'!$K$3:$K$501,"=671")</f>
        <v>0</v>
      </c>
      <c r="N106" s="189">
        <f>SUMIFS('Plan prihoda za unos u SAP'!$I$3:$I$501,'Plan prihoda za unos u SAP'!$C$3:$C$501,"=561",'Plan prihoda za unos u SAP'!$K$3:$K$501,"=671")</f>
        <v>0</v>
      </c>
      <c r="O106" s="189">
        <f>SUMIFS('Plan prihoda za unos u SAP'!$I$3:$I$501,'Plan prihoda za unos u SAP'!$C$3:$C$501,"=563",'Plan prihoda za unos u SAP'!$K$3:$K$501,"=671")</f>
        <v>0</v>
      </c>
      <c r="P106" s="189">
        <f>SUMIFS('Plan prihoda za unos u SAP'!$I$3:$I$501,'Plan prihoda za unos u SAP'!$C$3:$C$501,"=573",'Plan prihoda za unos u SAP'!$K$3:$K$501,"=671")</f>
        <v>0</v>
      </c>
      <c r="Q106" s="189">
        <f>SUMIFS('Plan prihoda za unos u SAP'!$I$3:$I$501,'Plan prihoda za unos u SAP'!$C$3:$C$501,"=575",'Plan prihoda za unos u SAP'!$K$3:$K$501,"=671")</f>
        <v>0</v>
      </c>
      <c r="R106" s="189">
        <f>SUMIFS('Plan prihoda za unos u SAP'!$I$3:$I$501,'Plan prihoda za unos u SAP'!$C$3:$C$501,"=576",'Plan prihoda za unos u SAP'!$K$3:$K$501,"=671")</f>
        <v>0</v>
      </c>
      <c r="S106" s="189">
        <f>SUMIFS('Plan prihoda za unos u SAP'!$I$3:$I$501,'Plan prihoda za unos u SAP'!$C$3:$C$501,"=61",'Plan prihoda za unos u SAP'!$K$3:$K$501,"=671")</f>
        <v>0</v>
      </c>
      <c r="T106" s="189">
        <f>SUMIFS('Plan prihoda za unos u SAP'!$I$3:$I$501,'Plan prihoda za unos u SAP'!$C$3:$C$501,"=63",'Plan prihoda za unos u SAP'!$K$3:$K$501,"=671")</f>
        <v>0</v>
      </c>
      <c r="U106" s="189">
        <f>SUMIFS('Plan prihoda za unos u SAP'!$I$3:$I$501,'Plan prihoda za unos u SAP'!$C$3:$C$501,"=71",'Plan prihoda za unos u SAP'!$K$3:$K$501,"=671")</f>
        <v>0</v>
      </c>
      <c r="V106" s="189">
        <f>SUMIFS('Plan prihoda za unos u SAP'!$I$3:$I$501,'Plan prihoda za unos u SAP'!$C$3:$C$501,"=81",'Plan prihoda za unos u SAP'!$K$3:$K$501,"=671")</f>
        <v>0</v>
      </c>
      <c r="W106" s="189">
        <f>SUMIFS('Plan prihoda za unos u SAP'!$I$3:$I$501,'Plan prihoda za unos u SAP'!$C$3:$C$501,"=83",'Plan prihoda za unos u SAP'!$K$3:$K$501,"=671")</f>
        <v>0</v>
      </c>
    </row>
    <row r="107" spans="1:23" s="90" customFormat="1">
      <c r="A107" s="90">
        <v>2023</v>
      </c>
      <c r="B107" s="95" t="s">
        <v>301</v>
      </c>
      <c r="C107" s="96" t="s">
        <v>302</v>
      </c>
      <c r="D107" s="70">
        <f t="shared" si="23"/>
        <v>0</v>
      </c>
      <c r="E107" s="189">
        <f>SUMIFS('Plan prihoda za unos u SAP'!$I$3:$I$501,'Plan prihoda za unos u SAP'!$C$3:$C$501,"=11",'Plan prihoda za unos u SAP'!$K$3:$K$501,"=681")</f>
        <v>0</v>
      </c>
      <c r="F107" s="189">
        <f>SUMIFS('Plan prihoda za unos u SAP'!$I$3:$I$501,'Plan prihoda za unos u SAP'!$C$3:$C$501,"=12",'Plan prihoda za unos u SAP'!$K$3:$K$501,"=681")</f>
        <v>0</v>
      </c>
      <c r="G107" s="189">
        <f>SUMIFS('Plan prihoda za unos u SAP'!$I$3:$I$501,'Plan prihoda za unos u SAP'!$C$3:$C$501,"=31",'Plan prihoda za unos u SAP'!$K$3:$K$501,"=681")</f>
        <v>0</v>
      </c>
      <c r="H107" s="189">
        <f>SUMIFS('Plan prihoda za unos u SAP'!$I$3:$I$501,'Plan prihoda za unos u SAP'!$C$3:$C$501,"=41",'Plan prihoda za unos u SAP'!$K$3:$K$501,"=681")</f>
        <v>0</v>
      </c>
      <c r="I107" s="189">
        <f>SUMIFS('Plan prihoda za unos u SAP'!$I$3:$I$501,'Plan prihoda za unos u SAP'!$C$3:$C$501,"=43",'Plan prihoda za unos u SAP'!$K$3:$K$501,"=681")</f>
        <v>0</v>
      </c>
      <c r="J107" s="189">
        <f>SUMIFS('Plan prihoda za unos u SAP'!$I$3:$I$501,'Plan prihoda za unos u SAP'!$C$3:$C$501,"=51",'Plan prihoda za unos u SAP'!$K$3:$K$501,"=681")</f>
        <v>0</v>
      </c>
      <c r="K107" s="189">
        <f>SUMIFS('Plan prihoda za unos u SAP'!$I$3:$I$501,'Plan prihoda za unos u SAP'!$C$3:$C$501,"=52",'Plan prihoda za unos u SAP'!$K$3:$K$501,"=681")</f>
        <v>0</v>
      </c>
      <c r="L107" s="189">
        <f>SUMIFS('Plan prihoda za unos u SAP'!$I$3:$I$501,'Plan prihoda za unos u SAP'!$C$3:$C$501,"=552",'Plan prihoda za unos u SAP'!$K$3:$K$501,"=681")</f>
        <v>0</v>
      </c>
      <c r="M107" s="189">
        <f>SUMIFS('Plan prihoda za unos u SAP'!$I$3:$I$501,'Plan prihoda za unos u SAP'!$C$3:$C$501,"=559",'Plan prihoda za unos u SAP'!$K$3:$K$501,"=681")</f>
        <v>0</v>
      </c>
      <c r="N107" s="189">
        <f>SUMIFS('Plan prihoda za unos u SAP'!$I$3:$I$501,'Plan prihoda za unos u SAP'!$C$3:$C$501,"=561",'Plan prihoda za unos u SAP'!$K$3:$K$501,"=681")</f>
        <v>0</v>
      </c>
      <c r="O107" s="189">
        <f>SUMIFS('Plan prihoda za unos u SAP'!$I$3:$I$501,'Plan prihoda za unos u SAP'!$C$3:$C$501,"=563",'Plan prihoda za unos u SAP'!$K$3:$K$501,"=681")</f>
        <v>0</v>
      </c>
      <c r="P107" s="189">
        <f>SUMIFS('Plan prihoda za unos u SAP'!$I$3:$I$501,'Plan prihoda za unos u SAP'!$C$3:$C$501,"=573",'Plan prihoda za unos u SAP'!$K$3:$K$501,"=681")</f>
        <v>0</v>
      </c>
      <c r="Q107" s="189">
        <f>SUMIFS('Plan prihoda za unos u SAP'!$I$3:$I$501,'Plan prihoda za unos u SAP'!$C$3:$C$501,"=575",'Plan prihoda za unos u SAP'!$K$3:$K$501,"=681")</f>
        <v>0</v>
      </c>
      <c r="R107" s="189">
        <f>SUMIFS('Plan prihoda za unos u SAP'!$I$3:$I$501,'Plan prihoda za unos u SAP'!$C$3:$C$501,"=576",'Plan prihoda za unos u SAP'!$K$3:$K$501,"=681")</f>
        <v>0</v>
      </c>
      <c r="S107" s="189">
        <f>SUMIFS('Plan prihoda za unos u SAP'!$I$3:$I$501,'Plan prihoda za unos u SAP'!$C$3:$C$501,"=61",'Plan prihoda za unos u SAP'!$K$3:$K$501,"=681")</f>
        <v>0</v>
      </c>
      <c r="T107" s="189">
        <f>SUMIFS('Plan prihoda za unos u SAP'!$I$3:$I$501,'Plan prihoda za unos u SAP'!$C$3:$C$501,"=63",'Plan prihoda za unos u SAP'!$K$3:$K$501,"=681")</f>
        <v>0</v>
      </c>
      <c r="U107" s="189">
        <f>SUMIFS('Plan prihoda za unos u SAP'!$I$3:$I$501,'Plan prihoda za unos u SAP'!$C$3:$C$501,"=71",'Plan prihoda za unos u SAP'!$K$3:$K$501,"=681")</f>
        <v>0</v>
      </c>
      <c r="V107" s="189">
        <f>SUMIFS('Plan prihoda za unos u SAP'!$I$3:$I$501,'Plan prihoda za unos u SAP'!$C$3:$C$501,"=81",'Plan prihoda za unos u SAP'!$K$3:$K$501,"=681")</f>
        <v>0</v>
      </c>
      <c r="W107" s="189">
        <f>SUMIFS('Plan prihoda za unos u SAP'!$I$3:$I$501,'Plan prihoda za unos u SAP'!$C$3:$C$501,"=83",'Plan prihoda za unos u SAP'!$K$3:$K$501,"=681")</f>
        <v>0</v>
      </c>
    </row>
    <row r="108" spans="1:23" s="90" customFormat="1">
      <c r="A108" s="90">
        <v>2023</v>
      </c>
      <c r="B108" s="95" t="s">
        <v>303</v>
      </c>
      <c r="C108" s="96" t="s">
        <v>304</v>
      </c>
      <c r="D108" s="70">
        <f t="shared" si="23"/>
        <v>6000</v>
      </c>
      <c r="E108" s="189">
        <f>SUMIFS('Plan prihoda za unos u SAP'!$I$3:$I$501,'Plan prihoda za unos u SAP'!$C$3:$C$501,"=11",'Plan prihoda za unos u SAP'!$K$3:$K$501,"=683")</f>
        <v>0</v>
      </c>
      <c r="F108" s="189">
        <f>SUMIFS('Plan prihoda za unos u SAP'!$I$3:$I$501,'Plan prihoda za unos u SAP'!$C$3:$C$501,"=12",'Plan prihoda za unos u SAP'!$K$3:$K$501,"=683")</f>
        <v>0</v>
      </c>
      <c r="G108" s="189">
        <f>SUMIFS('Plan prihoda za unos u SAP'!$I$3:$I$501,'Plan prihoda za unos u SAP'!$C$3:$C$501,"=31",'Plan prihoda za unos u SAP'!$K$3:$K$501,"=683")</f>
        <v>6000</v>
      </c>
      <c r="H108" s="189">
        <f>SUMIFS('Plan prihoda za unos u SAP'!$I$3:$I$501,'Plan prihoda za unos u SAP'!$C$3:$C$501,"=41",'Plan prihoda za unos u SAP'!$K$3:$K$501,"=683")</f>
        <v>0</v>
      </c>
      <c r="I108" s="189">
        <f>SUMIFS('Plan prihoda za unos u SAP'!$I$3:$I$501,'Plan prihoda za unos u SAP'!$C$3:$C$501,"=43",'Plan prihoda za unos u SAP'!$K$3:$K$501,"=683")</f>
        <v>0</v>
      </c>
      <c r="J108" s="189">
        <f>SUMIFS('Plan prihoda za unos u SAP'!$I$3:$I$501,'Plan prihoda za unos u SAP'!$C$3:$C$501,"=51",'Plan prihoda za unos u SAP'!$K$3:$K$501,"=683")</f>
        <v>0</v>
      </c>
      <c r="K108" s="189">
        <f>SUMIFS('Plan prihoda za unos u SAP'!$I$3:$I$501,'Plan prihoda za unos u SAP'!$C$3:$C$501,"=52",'Plan prihoda za unos u SAP'!$K$3:$K$501,"=683")</f>
        <v>0</v>
      </c>
      <c r="L108" s="189">
        <f>SUMIFS('Plan prihoda za unos u SAP'!$I$3:$I$501,'Plan prihoda za unos u SAP'!$C$3:$C$501,"=552",'Plan prihoda za unos u SAP'!$K$3:$K$501,"=683")</f>
        <v>0</v>
      </c>
      <c r="M108" s="189">
        <f>SUMIFS('Plan prihoda za unos u SAP'!$I$3:$I$501,'Plan prihoda za unos u SAP'!$C$3:$C$501,"=559",'Plan prihoda za unos u SAP'!$K$3:$K$501,"=683")</f>
        <v>0</v>
      </c>
      <c r="N108" s="189">
        <f>SUMIFS('Plan prihoda za unos u SAP'!$I$3:$I$501,'Plan prihoda za unos u SAP'!$C$3:$C$501,"=561",'Plan prihoda za unos u SAP'!$K$3:$K$501,"=683")</f>
        <v>0</v>
      </c>
      <c r="O108" s="189">
        <f>SUMIFS('Plan prihoda za unos u SAP'!$I$3:$I$501,'Plan prihoda za unos u SAP'!$C$3:$C$501,"=563",'Plan prihoda za unos u SAP'!$K$3:$K$501,"=683")</f>
        <v>0</v>
      </c>
      <c r="P108" s="189">
        <f>SUMIFS('Plan prihoda za unos u SAP'!$I$3:$I$501,'Plan prihoda za unos u SAP'!$C$3:$C$501,"=573",'Plan prihoda za unos u SAP'!$K$3:$K$501,"=683")</f>
        <v>0</v>
      </c>
      <c r="Q108" s="189">
        <f>SUMIFS('Plan prihoda za unos u SAP'!$I$3:$I$501,'Plan prihoda za unos u SAP'!$C$3:$C$501,"=575",'Plan prihoda za unos u SAP'!$K$3:$K$501,"=683")</f>
        <v>0</v>
      </c>
      <c r="R108" s="189">
        <f>SUMIFS('Plan prihoda za unos u SAP'!$I$3:$I$501,'Plan prihoda za unos u SAP'!$C$3:$C$501,"=576",'Plan prihoda za unos u SAP'!$K$3:$K$501,"=683")</f>
        <v>0</v>
      </c>
      <c r="S108" s="189">
        <f>SUMIFS('Plan prihoda za unos u SAP'!$I$3:$I$501,'Plan prihoda za unos u SAP'!$C$3:$C$501,"=61",'Plan prihoda za unos u SAP'!$K$3:$K$501,"=683")</f>
        <v>0</v>
      </c>
      <c r="T108" s="189">
        <f>SUMIFS('Plan prihoda za unos u SAP'!$I$3:$I$501,'Plan prihoda za unos u SAP'!$C$3:$C$501,"=63",'Plan prihoda za unos u SAP'!$K$3:$K$501,"=683")</f>
        <v>0</v>
      </c>
      <c r="U108" s="189">
        <f>SUMIFS('Plan prihoda za unos u SAP'!$I$3:$I$501,'Plan prihoda za unos u SAP'!$C$3:$C$501,"=71",'Plan prihoda za unos u SAP'!$K$3:$K$501,"=683")</f>
        <v>0</v>
      </c>
      <c r="V108" s="189">
        <f>SUMIFS('Plan prihoda za unos u SAP'!$I$3:$I$501,'Plan prihoda za unos u SAP'!$C$3:$C$501,"=81",'Plan prihoda za unos u SAP'!$K$3:$K$501,"=683")</f>
        <v>0</v>
      </c>
      <c r="W108" s="189">
        <f>SUMIFS('Plan prihoda za unos u SAP'!$I$3:$I$501,'Plan prihoda za unos u SAP'!$C$3:$C$501,"=83",'Plan prihoda za unos u SAP'!$K$3:$K$501,"=683")</f>
        <v>0</v>
      </c>
    </row>
    <row r="109" spans="1:23" s="90" customFormat="1">
      <c r="A109" s="90">
        <v>2023</v>
      </c>
      <c r="B109" s="98" t="s">
        <v>305</v>
      </c>
      <c r="C109" s="99" t="s">
        <v>306</v>
      </c>
      <c r="D109" s="70">
        <f t="shared" si="23"/>
        <v>8578153</v>
      </c>
      <c r="E109" s="4">
        <f>SUM(E93:E108)</f>
        <v>7978703</v>
      </c>
      <c r="F109" s="4">
        <f t="shared" ref="F109:W109" si="27">SUM(F93:F108)</f>
        <v>0</v>
      </c>
      <c r="G109" s="4">
        <f t="shared" si="27"/>
        <v>83100</v>
      </c>
      <c r="H109" s="4">
        <f t="shared" si="27"/>
        <v>0</v>
      </c>
      <c r="I109" s="4">
        <f t="shared" si="27"/>
        <v>496350</v>
      </c>
      <c r="J109" s="4">
        <f t="shared" si="27"/>
        <v>0</v>
      </c>
      <c r="K109" s="4">
        <f t="shared" si="27"/>
        <v>20000</v>
      </c>
      <c r="L109" s="4">
        <f t="shared" si="27"/>
        <v>0</v>
      </c>
      <c r="M109" s="4">
        <f t="shared" si="27"/>
        <v>0</v>
      </c>
      <c r="N109" s="4">
        <f t="shared" si="27"/>
        <v>0</v>
      </c>
      <c r="O109" s="4">
        <f t="shared" si="27"/>
        <v>0</v>
      </c>
      <c r="P109" s="4">
        <f t="shared" si="27"/>
        <v>0</v>
      </c>
      <c r="Q109" s="4">
        <f t="shared" si="27"/>
        <v>0</v>
      </c>
      <c r="R109" s="4">
        <f t="shared" ref="R109" si="28">SUM(R93:R108)</f>
        <v>0</v>
      </c>
      <c r="S109" s="4">
        <f t="shared" si="27"/>
        <v>0</v>
      </c>
      <c r="T109" s="4">
        <f t="shared" si="27"/>
        <v>0</v>
      </c>
      <c r="U109" s="4">
        <f t="shared" si="27"/>
        <v>0</v>
      </c>
      <c r="V109" s="4">
        <f t="shared" si="27"/>
        <v>0</v>
      </c>
      <c r="W109" s="4">
        <f t="shared" si="27"/>
        <v>0</v>
      </c>
    </row>
    <row r="110" spans="1:23" s="90" customFormat="1">
      <c r="A110" s="90">
        <v>2023</v>
      </c>
      <c r="B110" s="95" t="s">
        <v>318</v>
      </c>
      <c r="C110" s="100" t="s">
        <v>319</v>
      </c>
      <c r="D110" s="70">
        <f t="shared" si="23"/>
        <v>0</v>
      </c>
      <c r="E110" s="189">
        <f>SUMIFS('Plan prihoda za unos u SAP'!$I$3:$I$501,'Plan prihoda za unos u SAP'!$C$3:$C$501,"=11",'Plan prihoda za unos u SAP'!$K$3:$K$501,"=711")</f>
        <v>0</v>
      </c>
      <c r="F110" s="189">
        <f>SUMIFS('Plan prihoda za unos u SAP'!$I$3:$I$501,'Plan prihoda za unos u SAP'!$C$3:$C$501,"=12",'Plan prihoda za unos u SAP'!$K$3:$K$501,"=711")</f>
        <v>0</v>
      </c>
      <c r="G110" s="189">
        <f>SUMIFS('Plan prihoda za unos u SAP'!$I$3:$I$501,'Plan prihoda za unos u SAP'!$C$3:$C$501,"=31",'Plan prihoda za unos u SAP'!$K$3:$K$501,"=711")</f>
        <v>0</v>
      </c>
      <c r="H110" s="189">
        <f>SUMIFS('Plan prihoda za unos u SAP'!$I$3:$I$501,'Plan prihoda za unos u SAP'!$C$3:$C$501,"=41",'Plan prihoda za unos u SAP'!$K$3:$K$501,"=711")</f>
        <v>0</v>
      </c>
      <c r="I110" s="189">
        <f>SUMIFS('Plan prihoda za unos u SAP'!$I$3:$I$501,'Plan prihoda za unos u SAP'!$C$3:$C$501,"=43",'Plan prihoda za unos u SAP'!$K$3:$K$501,"=711")</f>
        <v>0</v>
      </c>
      <c r="J110" s="189">
        <f>SUMIFS('Plan prihoda za unos u SAP'!$I$3:$I$501,'Plan prihoda za unos u SAP'!$C$3:$C$501,"=51",'Plan prihoda za unos u SAP'!$K$3:$K$501,"=711")</f>
        <v>0</v>
      </c>
      <c r="K110" s="189">
        <f>SUMIFS('Plan prihoda za unos u SAP'!$I$3:$I$501,'Plan prihoda za unos u SAP'!$C$3:$C$501,"=52",'Plan prihoda za unos u SAP'!$K$3:$K$501,"=711")</f>
        <v>0</v>
      </c>
      <c r="L110" s="189">
        <f>SUMIFS('Plan prihoda za unos u SAP'!$I$3:$I$501,'Plan prihoda za unos u SAP'!$C$3:$C$501,"=552",'Plan prihoda za unos u SAP'!$K$3:$K$501,"=711")</f>
        <v>0</v>
      </c>
      <c r="M110" s="189">
        <f>SUMIFS('Plan prihoda za unos u SAP'!$I$3:$I$501,'Plan prihoda za unos u SAP'!$C$3:$C$501,"=559",'Plan prihoda za unos u SAP'!$K$3:$K$501,"=711")</f>
        <v>0</v>
      </c>
      <c r="N110" s="189">
        <f>SUMIFS('Plan prihoda za unos u SAP'!$I$3:$I$501,'Plan prihoda za unos u SAP'!$C$3:$C$501,"=561",'Plan prihoda za unos u SAP'!$K$3:$K$501,"=711")</f>
        <v>0</v>
      </c>
      <c r="O110" s="189">
        <f>SUMIFS('Plan prihoda za unos u SAP'!$I$3:$I$501,'Plan prihoda za unos u SAP'!$C$3:$C$501,"=563",'Plan prihoda za unos u SAP'!$K$3:$K$501,"=711")</f>
        <v>0</v>
      </c>
      <c r="P110" s="189">
        <f>SUMIFS('Plan prihoda za unos u SAP'!$I$3:$I$501,'Plan prihoda za unos u SAP'!$C$3:$C$501,"=573",'Plan prihoda za unos u SAP'!$K$3:$K$501,"=711")</f>
        <v>0</v>
      </c>
      <c r="Q110" s="189">
        <f>SUMIFS('Plan prihoda za unos u SAP'!$I$3:$I$501,'Plan prihoda za unos u SAP'!$C$3:$C$501,"=575",'Plan prihoda za unos u SAP'!$K$3:$K$501,"=711")</f>
        <v>0</v>
      </c>
      <c r="R110" s="189">
        <f>SUMIFS('Plan prihoda za unos u SAP'!$I$3:$I$501,'Plan prihoda za unos u SAP'!$C$3:$C$501,"=576",'Plan prihoda za unos u SAP'!$K$3:$K$501,"=711")</f>
        <v>0</v>
      </c>
      <c r="S110" s="189">
        <f>SUMIFS('Plan prihoda za unos u SAP'!$I$3:$I$501,'Plan prihoda za unos u SAP'!$C$3:$C$501,"=61",'Plan prihoda za unos u SAP'!$K$3:$K$501,"=711")</f>
        <v>0</v>
      </c>
      <c r="T110" s="189">
        <f>SUMIFS('Plan prihoda za unos u SAP'!$I$3:$I$501,'Plan prihoda za unos u SAP'!$C$3:$C$501,"=63",'Plan prihoda za unos u SAP'!$K$3:$K$501,"=711")</f>
        <v>0</v>
      </c>
      <c r="U110" s="189">
        <f>SUMIFS('Plan prihoda za unos u SAP'!$I$3:$I$501,'Plan prihoda za unos u SAP'!$C$3:$C$501,"=71",'Plan prihoda za unos u SAP'!$K$3:$K$501,"=711")</f>
        <v>0</v>
      </c>
      <c r="V110" s="189">
        <f>SUMIFS('Plan prihoda za unos u SAP'!$I$3:$I$501,'Plan prihoda za unos u SAP'!$C$3:$C$501,"=81",'Plan prihoda za unos u SAP'!$K$3:$K$501,"=711")</f>
        <v>0</v>
      </c>
      <c r="W110" s="189">
        <f>SUMIFS('Plan prihoda za unos u SAP'!$I$3:$I$501,'Plan prihoda za unos u SAP'!$C$3:$C$501,"=83",'Plan prihoda za unos u SAP'!$K$3:$K$501,"=711")</f>
        <v>0</v>
      </c>
    </row>
    <row r="111" spans="1:23" s="90" customFormat="1">
      <c r="A111" s="90">
        <v>2023</v>
      </c>
      <c r="B111" s="95" t="s">
        <v>320</v>
      </c>
      <c r="C111" s="100" t="s">
        <v>321</v>
      </c>
      <c r="D111" s="70">
        <f t="shared" si="23"/>
        <v>0</v>
      </c>
      <c r="E111" s="189">
        <f>SUMIFS('Plan prihoda za unos u SAP'!$I$3:$I$501,'Plan prihoda za unos u SAP'!$C$3:$C$501,"=11",'Plan prihoda za unos u SAP'!$K$3:$K$501,"=712")</f>
        <v>0</v>
      </c>
      <c r="F111" s="189">
        <f>SUMIFS('Plan prihoda za unos u SAP'!$I$3:$I$501,'Plan prihoda za unos u SAP'!$C$3:$C$501,"=12",'Plan prihoda za unos u SAP'!$K$3:$K$501,"=712")</f>
        <v>0</v>
      </c>
      <c r="G111" s="189">
        <f>SUMIFS('Plan prihoda za unos u SAP'!$I$3:$I$501,'Plan prihoda za unos u SAP'!$C$3:$C$501,"=31",'Plan prihoda za unos u SAP'!$K$3:$K$501,"=712")</f>
        <v>0</v>
      </c>
      <c r="H111" s="189">
        <f>SUMIFS('Plan prihoda za unos u SAP'!$I$3:$I$501,'Plan prihoda za unos u SAP'!$C$3:$C$501,"=41",'Plan prihoda za unos u SAP'!$K$3:$K$501,"=712")</f>
        <v>0</v>
      </c>
      <c r="I111" s="189">
        <f>SUMIFS('Plan prihoda za unos u SAP'!$I$3:$I$501,'Plan prihoda za unos u SAP'!$C$3:$C$501,"=43",'Plan prihoda za unos u SAP'!$K$3:$K$501,"=712")</f>
        <v>0</v>
      </c>
      <c r="J111" s="189">
        <f>SUMIFS('Plan prihoda za unos u SAP'!$I$3:$I$501,'Plan prihoda za unos u SAP'!$C$3:$C$501,"=51",'Plan prihoda za unos u SAP'!$K$3:$K$501,"=712")</f>
        <v>0</v>
      </c>
      <c r="K111" s="189">
        <f>SUMIFS('Plan prihoda za unos u SAP'!$I$3:$I$501,'Plan prihoda za unos u SAP'!$C$3:$C$501,"=52",'Plan prihoda za unos u SAP'!$K$3:$K$501,"=712")</f>
        <v>0</v>
      </c>
      <c r="L111" s="189">
        <f>SUMIFS('Plan prihoda za unos u SAP'!$I$3:$I$501,'Plan prihoda za unos u SAP'!$C$3:$C$501,"=552",'Plan prihoda za unos u SAP'!$K$3:$K$501,"=712")</f>
        <v>0</v>
      </c>
      <c r="M111" s="189">
        <f>SUMIFS('Plan prihoda za unos u SAP'!$I$3:$I$501,'Plan prihoda za unos u SAP'!$C$3:$C$501,"=559",'Plan prihoda za unos u SAP'!$K$3:$K$501,"=712")</f>
        <v>0</v>
      </c>
      <c r="N111" s="189">
        <f>SUMIFS('Plan prihoda za unos u SAP'!$I$3:$I$501,'Plan prihoda za unos u SAP'!$C$3:$C$501,"=561",'Plan prihoda za unos u SAP'!$K$3:$K$501,"=712")</f>
        <v>0</v>
      </c>
      <c r="O111" s="189">
        <f>SUMIFS('Plan prihoda za unos u SAP'!$I$3:$I$501,'Plan prihoda za unos u SAP'!$C$3:$C$501,"=563",'Plan prihoda za unos u SAP'!$K$3:$K$501,"=712")</f>
        <v>0</v>
      </c>
      <c r="P111" s="189">
        <f>SUMIFS('Plan prihoda za unos u SAP'!$I$3:$I$501,'Plan prihoda za unos u SAP'!$C$3:$C$501,"=573",'Plan prihoda za unos u SAP'!$K$3:$K$501,"=712")</f>
        <v>0</v>
      </c>
      <c r="Q111" s="189">
        <f>SUMIFS('Plan prihoda za unos u SAP'!$I$3:$I$501,'Plan prihoda za unos u SAP'!$C$3:$C$501,"=575",'Plan prihoda za unos u SAP'!$K$3:$K$501,"=712")</f>
        <v>0</v>
      </c>
      <c r="R111" s="189">
        <f>SUMIFS('Plan prihoda za unos u SAP'!$I$3:$I$501,'Plan prihoda za unos u SAP'!$C$3:$C$501,"=576",'Plan prihoda za unos u SAP'!$K$3:$K$501,"=712")</f>
        <v>0</v>
      </c>
      <c r="S111" s="189">
        <f>SUMIFS('Plan prihoda za unos u SAP'!$I$3:$I$501,'Plan prihoda za unos u SAP'!$C$3:$C$501,"=61",'Plan prihoda za unos u SAP'!$K$3:$K$501,"=712")</f>
        <v>0</v>
      </c>
      <c r="T111" s="189">
        <f>SUMIFS('Plan prihoda za unos u SAP'!$I$3:$I$501,'Plan prihoda za unos u SAP'!$C$3:$C$501,"=63",'Plan prihoda za unos u SAP'!$K$3:$K$501,"=712")</f>
        <v>0</v>
      </c>
      <c r="U111" s="189">
        <f>SUMIFS('Plan prihoda za unos u SAP'!$I$3:$I$501,'Plan prihoda za unos u SAP'!$C$3:$C$501,"=71",'Plan prihoda za unos u SAP'!$K$3:$K$501,"=712")</f>
        <v>0</v>
      </c>
      <c r="V111" s="189">
        <f>SUMIFS('Plan prihoda za unos u SAP'!$I$3:$I$501,'Plan prihoda za unos u SAP'!$C$3:$C$501,"=81",'Plan prihoda za unos u SAP'!$K$3:$K$501,"=712")</f>
        <v>0</v>
      </c>
      <c r="W111" s="189">
        <f>SUMIFS('Plan prihoda za unos u SAP'!$I$3:$I$501,'Plan prihoda za unos u SAP'!$C$3:$C$501,"=83",'Plan prihoda za unos u SAP'!$K$3:$K$501,"=712")</f>
        <v>0</v>
      </c>
    </row>
    <row r="112" spans="1:23" s="90" customFormat="1">
      <c r="A112" s="90">
        <v>2023</v>
      </c>
      <c r="B112" s="95" t="s">
        <v>307</v>
      </c>
      <c r="C112" s="100" t="s">
        <v>308</v>
      </c>
      <c r="D112" s="70">
        <f t="shared" si="23"/>
        <v>0</v>
      </c>
      <c r="E112" s="189">
        <f>SUMIFS('Plan prihoda za unos u SAP'!$I$3:$I$501,'Plan prihoda za unos u SAP'!$C$3:$C$501,"=11",'Plan prihoda za unos u SAP'!$K$3:$K$501,"=721")</f>
        <v>0</v>
      </c>
      <c r="F112" s="189">
        <f>SUMIFS('Plan prihoda za unos u SAP'!$I$3:$I$501,'Plan prihoda za unos u SAP'!$C$3:$C$501,"=12",'Plan prihoda za unos u SAP'!$K$3:$K$501,"=721")</f>
        <v>0</v>
      </c>
      <c r="G112" s="189">
        <f>SUMIFS('Plan prihoda za unos u SAP'!$I$3:$I$501,'Plan prihoda za unos u SAP'!$C$3:$C$501,"=31",'Plan prihoda za unos u SAP'!$K$3:$K$501,"=721")</f>
        <v>0</v>
      </c>
      <c r="H112" s="189">
        <f>SUMIFS('Plan prihoda za unos u SAP'!$I$3:$I$501,'Plan prihoda za unos u SAP'!$C$3:$C$501,"=41",'Plan prihoda za unos u SAP'!$K$3:$K$501,"=721")</f>
        <v>0</v>
      </c>
      <c r="I112" s="189">
        <f>SUMIFS('Plan prihoda za unos u SAP'!$I$3:$I$501,'Plan prihoda za unos u SAP'!$C$3:$C$501,"=43",'Plan prihoda za unos u SAP'!$K$3:$K$501,"=721")</f>
        <v>0</v>
      </c>
      <c r="J112" s="189">
        <f>SUMIFS('Plan prihoda za unos u SAP'!$I$3:$I$501,'Plan prihoda za unos u SAP'!$C$3:$C$501,"=51",'Plan prihoda za unos u SAP'!$K$3:$K$501,"=721")</f>
        <v>0</v>
      </c>
      <c r="K112" s="189">
        <f>SUMIFS('Plan prihoda za unos u SAP'!$I$3:$I$501,'Plan prihoda za unos u SAP'!$C$3:$C$501,"=52",'Plan prihoda za unos u SAP'!$K$3:$K$501,"=721")</f>
        <v>0</v>
      </c>
      <c r="L112" s="189">
        <f>SUMIFS('Plan prihoda za unos u SAP'!$I$3:$I$501,'Plan prihoda za unos u SAP'!$C$3:$C$501,"=552",'Plan prihoda za unos u SAP'!$K$3:$K$501,"=721")</f>
        <v>0</v>
      </c>
      <c r="M112" s="189">
        <f>SUMIFS('Plan prihoda za unos u SAP'!$I$3:$I$501,'Plan prihoda za unos u SAP'!$C$3:$C$501,"=559",'Plan prihoda za unos u SAP'!$K$3:$K$501,"=721")</f>
        <v>0</v>
      </c>
      <c r="N112" s="189">
        <f>SUMIFS('Plan prihoda za unos u SAP'!$I$3:$I$501,'Plan prihoda za unos u SAP'!$C$3:$C$501,"=561",'Plan prihoda za unos u SAP'!$K$3:$K$501,"=721")</f>
        <v>0</v>
      </c>
      <c r="O112" s="189">
        <f>SUMIFS('Plan prihoda za unos u SAP'!$I$3:$I$501,'Plan prihoda za unos u SAP'!$C$3:$C$501,"=563",'Plan prihoda za unos u SAP'!$K$3:$K$501,"=721")</f>
        <v>0</v>
      </c>
      <c r="P112" s="189">
        <f>SUMIFS('Plan prihoda za unos u SAP'!$I$3:$I$501,'Plan prihoda za unos u SAP'!$C$3:$C$501,"=573",'Plan prihoda za unos u SAP'!$K$3:$K$501,"=721")</f>
        <v>0</v>
      </c>
      <c r="Q112" s="189">
        <f>SUMIFS('Plan prihoda za unos u SAP'!$I$3:$I$501,'Plan prihoda za unos u SAP'!$C$3:$C$501,"=575",'Plan prihoda za unos u SAP'!$K$3:$K$501,"=721")</f>
        <v>0</v>
      </c>
      <c r="R112" s="189">
        <f>SUMIFS('Plan prihoda za unos u SAP'!$I$3:$I$501,'Plan prihoda za unos u SAP'!$C$3:$C$501,"=576",'Plan prihoda za unos u SAP'!$K$3:$K$501,"=721")</f>
        <v>0</v>
      </c>
      <c r="S112" s="189">
        <f>SUMIFS('Plan prihoda za unos u SAP'!$I$3:$I$501,'Plan prihoda za unos u SAP'!$C$3:$C$501,"=61",'Plan prihoda za unos u SAP'!$K$3:$K$501,"=721")</f>
        <v>0</v>
      </c>
      <c r="T112" s="189">
        <f>SUMIFS('Plan prihoda za unos u SAP'!$I$3:$I$501,'Plan prihoda za unos u SAP'!$C$3:$C$501,"=63",'Plan prihoda za unos u SAP'!$K$3:$K$501,"=721")</f>
        <v>0</v>
      </c>
      <c r="U112" s="189">
        <f>SUMIFS('Plan prihoda za unos u SAP'!$I$3:$I$501,'Plan prihoda za unos u SAP'!$C$3:$C$501,"=71",'Plan prihoda za unos u SAP'!$K$3:$K$501,"=721")</f>
        <v>0</v>
      </c>
      <c r="V112" s="189">
        <f>SUMIFS('Plan prihoda za unos u SAP'!$I$3:$I$501,'Plan prihoda za unos u SAP'!$C$3:$C$501,"=81",'Plan prihoda za unos u SAP'!$K$3:$K$501,"=721")</f>
        <v>0</v>
      </c>
      <c r="W112" s="189">
        <f>SUMIFS('Plan prihoda za unos u SAP'!$I$3:$I$501,'Plan prihoda za unos u SAP'!$C$3:$C$501,"=83",'Plan prihoda za unos u SAP'!$K$3:$K$501,"=721")</f>
        <v>0</v>
      </c>
    </row>
    <row r="113" spans="1:23" s="90" customFormat="1">
      <c r="A113" s="90">
        <v>2023</v>
      </c>
      <c r="B113" s="95" t="s">
        <v>309</v>
      </c>
      <c r="C113" s="100" t="s">
        <v>310</v>
      </c>
      <c r="D113" s="70">
        <f t="shared" si="23"/>
        <v>0</v>
      </c>
      <c r="E113" s="189">
        <f>SUMIFS('Plan prihoda za unos u SAP'!$I$3:$I$501,'Plan prihoda za unos u SAP'!$C$3:$C$501,"=11",'Plan prihoda za unos u SAP'!$K$3:$K$501,"=722")</f>
        <v>0</v>
      </c>
      <c r="F113" s="189">
        <f>SUMIFS('Plan prihoda za unos u SAP'!$I$3:$I$501,'Plan prihoda za unos u SAP'!$C$3:$C$501,"=12",'Plan prihoda za unos u SAP'!$K$3:$K$501,"=722")</f>
        <v>0</v>
      </c>
      <c r="G113" s="189">
        <f>SUMIFS('Plan prihoda za unos u SAP'!$I$3:$I$501,'Plan prihoda za unos u SAP'!$C$3:$C$501,"=31",'Plan prihoda za unos u SAP'!$K$3:$K$501,"=722")</f>
        <v>0</v>
      </c>
      <c r="H113" s="189">
        <f>SUMIFS('Plan prihoda za unos u SAP'!$I$3:$I$501,'Plan prihoda za unos u SAP'!$C$3:$C$501,"=41",'Plan prihoda za unos u SAP'!$K$3:$K$501,"=722")</f>
        <v>0</v>
      </c>
      <c r="I113" s="189">
        <f>SUMIFS('Plan prihoda za unos u SAP'!$I$3:$I$501,'Plan prihoda za unos u SAP'!$C$3:$C$501,"=43",'Plan prihoda za unos u SAP'!$K$3:$K$501,"=722")</f>
        <v>0</v>
      </c>
      <c r="J113" s="189">
        <f>SUMIFS('Plan prihoda za unos u SAP'!$I$3:$I$501,'Plan prihoda za unos u SAP'!$C$3:$C$501,"=51",'Plan prihoda za unos u SAP'!$K$3:$K$501,"=722")</f>
        <v>0</v>
      </c>
      <c r="K113" s="189">
        <f>SUMIFS('Plan prihoda za unos u SAP'!$I$3:$I$501,'Plan prihoda za unos u SAP'!$C$3:$C$501,"=52",'Plan prihoda za unos u SAP'!$K$3:$K$501,"=722")</f>
        <v>0</v>
      </c>
      <c r="L113" s="189">
        <f>SUMIFS('Plan prihoda za unos u SAP'!$I$3:$I$501,'Plan prihoda za unos u SAP'!$C$3:$C$501,"=552",'Plan prihoda za unos u SAP'!$K$3:$K$501,"=722")</f>
        <v>0</v>
      </c>
      <c r="M113" s="189">
        <f>SUMIFS('Plan prihoda za unos u SAP'!$I$3:$I$501,'Plan prihoda za unos u SAP'!$C$3:$C$501,"=559",'Plan prihoda za unos u SAP'!$K$3:$K$501,"=722")</f>
        <v>0</v>
      </c>
      <c r="N113" s="189">
        <f>SUMIFS('Plan prihoda za unos u SAP'!$I$3:$I$501,'Plan prihoda za unos u SAP'!$C$3:$C$501,"=561",'Plan prihoda za unos u SAP'!$K$3:$K$501,"=722")</f>
        <v>0</v>
      </c>
      <c r="O113" s="189">
        <f>SUMIFS('Plan prihoda za unos u SAP'!$I$3:$I$501,'Plan prihoda za unos u SAP'!$C$3:$C$501,"=563",'Plan prihoda za unos u SAP'!$K$3:$K$501,"=722")</f>
        <v>0</v>
      </c>
      <c r="P113" s="189">
        <f>SUMIFS('Plan prihoda za unos u SAP'!$I$3:$I$501,'Plan prihoda za unos u SAP'!$C$3:$C$501,"=573",'Plan prihoda za unos u SAP'!$K$3:$K$501,"=722")</f>
        <v>0</v>
      </c>
      <c r="Q113" s="189">
        <f>SUMIFS('Plan prihoda za unos u SAP'!$I$3:$I$501,'Plan prihoda za unos u SAP'!$C$3:$C$501,"=575",'Plan prihoda za unos u SAP'!$K$3:$K$501,"=722")</f>
        <v>0</v>
      </c>
      <c r="R113" s="189">
        <f>SUMIFS('Plan prihoda za unos u SAP'!$I$3:$I$501,'Plan prihoda za unos u SAP'!$C$3:$C$501,"=576",'Plan prihoda za unos u SAP'!$K$3:$K$501,"=722")</f>
        <v>0</v>
      </c>
      <c r="S113" s="189">
        <f>SUMIFS('Plan prihoda za unos u SAP'!$I$3:$I$501,'Plan prihoda za unos u SAP'!$C$3:$C$501,"=61",'Plan prihoda za unos u SAP'!$K$3:$K$501,"=722")</f>
        <v>0</v>
      </c>
      <c r="T113" s="189">
        <f>SUMIFS('Plan prihoda za unos u SAP'!$I$3:$I$501,'Plan prihoda za unos u SAP'!$C$3:$C$501,"=63",'Plan prihoda za unos u SAP'!$K$3:$K$501,"=722")</f>
        <v>0</v>
      </c>
      <c r="U113" s="189">
        <f>SUMIFS('Plan prihoda za unos u SAP'!$I$3:$I$501,'Plan prihoda za unos u SAP'!$C$3:$C$501,"=71",'Plan prihoda za unos u SAP'!$K$3:$K$501,"=722")</f>
        <v>0</v>
      </c>
      <c r="V113" s="189">
        <f>SUMIFS('Plan prihoda za unos u SAP'!$I$3:$I$501,'Plan prihoda za unos u SAP'!$C$3:$C$501,"=81",'Plan prihoda za unos u SAP'!$K$3:$K$501,"=722")</f>
        <v>0</v>
      </c>
      <c r="W113" s="189">
        <f>SUMIFS('Plan prihoda za unos u SAP'!$I$3:$I$501,'Plan prihoda za unos u SAP'!$C$3:$C$501,"=83",'Plan prihoda za unos u SAP'!$K$3:$K$501,"=722")</f>
        <v>0</v>
      </c>
    </row>
    <row r="114" spans="1:23" s="90" customFormat="1">
      <c r="A114" s="90">
        <v>2023</v>
      </c>
      <c r="B114" s="95" t="s">
        <v>311</v>
      </c>
      <c r="C114" s="100" t="s">
        <v>312</v>
      </c>
      <c r="D114" s="70">
        <f t="shared" si="23"/>
        <v>0</v>
      </c>
      <c r="E114" s="189">
        <f>SUMIFS('Plan prihoda za unos u SAP'!$I$3:$I$501,'Plan prihoda za unos u SAP'!$C$3:$C$501,"=11",'Plan prihoda za unos u SAP'!$K$3:$K$501,"=723")</f>
        <v>0</v>
      </c>
      <c r="F114" s="189">
        <f>SUMIFS('Plan prihoda za unos u SAP'!$I$3:$I$501,'Plan prihoda za unos u SAP'!$C$3:$C$501,"=12",'Plan prihoda za unos u SAP'!$K$3:$K$501,"=723")</f>
        <v>0</v>
      </c>
      <c r="G114" s="189">
        <f>SUMIFS('Plan prihoda za unos u SAP'!$I$3:$I$501,'Plan prihoda za unos u SAP'!$C$3:$C$501,"=31",'Plan prihoda za unos u SAP'!$K$3:$K$501,"=723")</f>
        <v>0</v>
      </c>
      <c r="H114" s="189">
        <f>SUMIFS('Plan prihoda za unos u SAP'!$I$3:$I$501,'Plan prihoda za unos u SAP'!$C$3:$C$501,"=41",'Plan prihoda za unos u SAP'!$K$3:$K$501,"=723")</f>
        <v>0</v>
      </c>
      <c r="I114" s="189">
        <f>SUMIFS('Plan prihoda za unos u SAP'!$I$3:$I$501,'Plan prihoda za unos u SAP'!$C$3:$C$501,"=43",'Plan prihoda za unos u SAP'!$K$3:$K$501,"=723")</f>
        <v>0</v>
      </c>
      <c r="J114" s="189">
        <f>SUMIFS('Plan prihoda za unos u SAP'!$I$3:$I$501,'Plan prihoda za unos u SAP'!$C$3:$C$501,"=51",'Plan prihoda za unos u SAP'!$K$3:$K$501,"=723")</f>
        <v>0</v>
      </c>
      <c r="K114" s="189">
        <f>SUMIFS('Plan prihoda za unos u SAP'!$I$3:$I$501,'Plan prihoda za unos u SAP'!$C$3:$C$501,"=52",'Plan prihoda za unos u SAP'!$K$3:$K$501,"=723")</f>
        <v>0</v>
      </c>
      <c r="L114" s="189">
        <f>SUMIFS('Plan prihoda za unos u SAP'!$I$3:$I$501,'Plan prihoda za unos u SAP'!$C$3:$C$501,"=552",'Plan prihoda za unos u SAP'!$K$3:$K$501,"=723")</f>
        <v>0</v>
      </c>
      <c r="M114" s="189">
        <f>SUMIFS('Plan prihoda za unos u SAP'!$I$3:$I$501,'Plan prihoda za unos u SAP'!$C$3:$C$501,"=559",'Plan prihoda za unos u SAP'!$K$3:$K$501,"=723")</f>
        <v>0</v>
      </c>
      <c r="N114" s="189">
        <f>SUMIFS('Plan prihoda za unos u SAP'!$I$3:$I$501,'Plan prihoda za unos u SAP'!$C$3:$C$501,"=561",'Plan prihoda za unos u SAP'!$K$3:$K$501,"=723")</f>
        <v>0</v>
      </c>
      <c r="O114" s="189">
        <f>SUMIFS('Plan prihoda za unos u SAP'!$I$3:$I$501,'Plan prihoda za unos u SAP'!$C$3:$C$501,"=563",'Plan prihoda za unos u SAP'!$K$3:$K$501,"=723")</f>
        <v>0</v>
      </c>
      <c r="P114" s="189">
        <f>SUMIFS('Plan prihoda za unos u SAP'!$I$3:$I$501,'Plan prihoda za unos u SAP'!$C$3:$C$501,"=573",'Plan prihoda za unos u SAP'!$K$3:$K$501,"=723")</f>
        <v>0</v>
      </c>
      <c r="Q114" s="189">
        <f>SUMIFS('Plan prihoda za unos u SAP'!$I$3:$I$501,'Plan prihoda za unos u SAP'!$C$3:$C$501,"=575",'Plan prihoda za unos u SAP'!$K$3:$K$501,"=723")</f>
        <v>0</v>
      </c>
      <c r="R114" s="189">
        <f>SUMIFS('Plan prihoda za unos u SAP'!$I$3:$I$501,'Plan prihoda za unos u SAP'!$C$3:$C$501,"=576",'Plan prihoda za unos u SAP'!$K$3:$K$501,"=723")</f>
        <v>0</v>
      </c>
      <c r="S114" s="189">
        <f>SUMIFS('Plan prihoda za unos u SAP'!$I$3:$I$501,'Plan prihoda za unos u SAP'!$C$3:$C$501,"=61",'Plan prihoda za unos u SAP'!$K$3:$K$501,"=723")</f>
        <v>0</v>
      </c>
      <c r="T114" s="189">
        <f>SUMIFS('Plan prihoda za unos u SAP'!$I$3:$I$501,'Plan prihoda za unos u SAP'!$C$3:$C$501,"=63",'Plan prihoda za unos u SAP'!$K$3:$K$501,"=723")</f>
        <v>0</v>
      </c>
      <c r="U114" s="189">
        <f>SUMIFS('Plan prihoda za unos u SAP'!$I$3:$I$501,'Plan prihoda za unos u SAP'!$C$3:$C$501,"=71",'Plan prihoda za unos u SAP'!$K$3:$K$501,"=723")</f>
        <v>0</v>
      </c>
      <c r="V114" s="189">
        <f>SUMIFS('Plan prihoda za unos u SAP'!$I$3:$I$501,'Plan prihoda za unos u SAP'!$C$3:$C$501,"=81",'Plan prihoda za unos u SAP'!$K$3:$K$501,"=723")</f>
        <v>0</v>
      </c>
      <c r="W114" s="189">
        <f>SUMIFS('Plan prihoda za unos u SAP'!$I$3:$I$501,'Plan prihoda za unos u SAP'!$C$3:$C$501,"=83",'Plan prihoda za unos u SAP'!$K$3:$K$501,"=723")</f>
        <v>0</v>
      </c>
    </row>
    <row r="115" spans="1:23" s="90" customFormat="1">
      <c r="A115" s="90">
        <v>2023</v>
      </c>
      <c r="B115" s="95" t="s">
        <v>322</v>
      </c>
      <c r="C115" s="100" t="s">
        <v>323</v>
      </c>
      <c r="D115" s="70">
        <f t="shared" si="23"/>
        <v>0</v>
      </c>
      <c r="E115" s="189">
        <f>SUMIFS('Plan prihoda za unos u SAP'!$I$3:$I$501,'Plan prihoda za unos u SAP'!$C$3:$C$501,"=11",'Plan prihoda za unos u SAP'!$K$3:$K$501,"=725")</f>
        <v>0</v>
      </c>
      <c r="F115" s="189">
        <f>SUMIFS('Plan prihoda za unos u SAP'!$I$3:$I$501,'Plan prihoda za unos u SAP'!$C$3:$C$501,"=12",'Plan prihoda za unos u SAP'!$K$3:$K$501,"=725")</f>
        <v>0</v>
      </c>
      <c r="G115" s="189">
        <f>SUMIFS('Plan prihoda za unos u SAP'!$I$3:$I$501,'Plan prihoda za unos u SAP'!$C$3:$C$501,"=31",'Plan prihoda za unos u SAP'!$K$3:$K$501,"=725")</f>
        <v>0</v>
      </c>
      <c r="H115" s="189">
        <f>SUMIFS('Plan prihoda za unos u SAP'!$I$3:$I$501,'Plan prihoda za unos u SAP'!$C$3:$C$501,"=41",'Plan prihoda za unos u SAP'!$K$3:$K$501,"=725")</f>
        <v>0</v>
      </c>
      <c r="I115" s="189">
        <f>SUMIFS('Plan prihoda za unos u SAP'!$I$3:$I$501,'Plan prihoda za unos u SAP'!$C$3:$C$501,"=43",'Plan prihoda za unos u SAP'!$K$3:$K$501,"=725")</f>
        <v>0</v>
      </c>
      <c r="J115" s="189">
        <f>SUMIFS('Plan prihoda za unos u SAP'!$I$3:$I$501,'Plan prihoda za unos u SAP'!$C$3:$C$501,"=51",'Plan prihoda za unos u SAP'!$K$3:$K$501,"=725")</f>
        <v>0</v>
      </c>
      <c r="K115" s="189">
        <f>SUMIFS('Plan prihoda za unos u SAP'!$I$3:$I$501,'Plan prihoda za unos u SAP'!$C$3:$C$501,"=52",'Plan prihoda za unos u SAP'!$K$3:$K$501,"=725")</f>
        <v>0</v>
      </c>
      <c r="L115" s="189">
        <f>SUMIFS('Plan prihoda za unos u SAP'!$I$3:$I$501,'Plan prihoda za unos u SAP'!$C$3:$C$501,"=552",'Plan prihoda za unos u SAP'!$K$3:$K$501,"=725")</f>
        <v>0</v>
      </c>
      <c r="M115" s="189">
        <f>SUMIFS('Plan prihoda za unos u SAP'!$I$3:$I$501,'Plan prihoda za unos u SAP'!$C$3:$C$501,"=559",'Plan prihoda za unos u SAP'!$K$3:$K$501,"=725")</f>
        <v>0</v>
      </c>
      <c r="N115" s="189">
        <f>SUMIFS('Plan prihoda za unos u SAP'!$I$3:$I$501,'Plan prihoda za unos u SAP'!$C$3:$C$501,"=561",'Plan prihoda za unos u SAP'!$K$3:$K$501,"=725")</f>
        <v>0</v>
      </c>
      <c r="O115" s="189">
        <f>SUMIFS('Plan prihoda za unos u SAP'!$I$3:$I$501,'Plan prihoda za unos u SAP'!$C$3:$C$501,"=563",'Plan prihoda za unos u SAP'!$K$3:$K$501,"=725")</f>
        <v>0</v>
      </c>
      <c r="P115" s="189">
        <f>SUMIFS('Plan prihoda za unos u SAP'!$I$3:$I$501,'Plan prihoda za unos u SAP'!$C$3:$C$501,"=573",'Plan prihoda za unos u SAP'!$K$3:$K$501,"=725")</f>
        <v>0</v>
      </c>
      <c r="Q115" s="189">
        <f>SUMIFS('Plan prihoda za unos u SAP'!$I$3:$I$501,'Plan prihoda za unos u SAP'!$C$3:$C$501,"=575",'Plan prihoda za unos u SAP'!$K$3:$K$501,"=725")</f>
        <v>0</v>
      </c>
      <c r="R115" s="189">
        <f>SUMIFS('Plan prihoda za unos u SAP'!$I$3:$I$501,'Plan prihoda za unos u SAP'!$C$3:$C$501,"=576",'Plan prihoda za unos u SAP'!$K$3:$K$501,"=725")</f>
        <v>0</v>
      </c>
      <c r="S115" s="189">
        <f>SUMIFS('Plan prihoda za unos u SAP'!$I$3:$I$501,'Plan prihoda za unos u SAP'!$C$3:$C$501,"=61",'Plan prihoda za unos u SAP'!$K$3:$K$501,"=725")</f>
        <v>0</v>
      </c>
      <c r="T115" s="189">
        <f>SUMIFS('Plan prihoda za unos u SAP'!$I$3:$I$501,'Plan prihoda za unos u SAP'!$C$3:$C$501,"=63",'Plan prihoda za unos u SAP'!$K$3:$K$501,"=725")</f>
        <v>0</v>
      </c>
      <c r="U115" s="189">
        <f>SUMIFS('Plan prihoda za unos u SAP'!$I$3:$I$501,'Plan prihoda za unos u SAP'!$C$3:$C$501,"=71",'Plan prihoda za unos u SAP'!$K$3:$K$501,"=725")</f>
        <v>0</v>
      </c>
      <c r="V115" s="189">
        <f>SUMIFS('Plan prihoda za unos u SAP'!$I$3:$I$501,'Plan prihoda za unos u SAP'!$C$3:$C$501,"=81",'Plan prihoda za unos u SAP'!$K$3:$K$501,"=725")</f>
        <v>0</v>
      </c>
      <c r="W115" s="189">
        <f>SUMIFS('Plan prihoda za unos u SAP'!$I$3:$I$501,'Plan prihoda za unos u SAP'!$C$3:$C$501,"=83",'Plan prihoda za unos u SAP'!$K$3:$K$501,"=725")</f>
        <v>0</v>
      </c>
    </row>
    <row r="116" spans="1:23" s="90" customFormat="1">
      <c r="A116" s="90">
        <v>2023</v>
      </c>
      <c r="B116" s="98" t="s">
        <v>313</v>
      </c>
      <c r="C116" s="99" t="s">
        <v>306</v>
      </c>
      <c r="D116" s="70">
        <f t="shared" si="23"/>
        <v>0</v>
      </c>
      <c r="E116" s="4">
        <f t="shared" ref="E116:V116" si="29">SUM(E110:E115)</f>
        <v>0</v>
      </c>
      <c r="F116" s="4">
        <f t="shared" si="29"/>
        <v>0</v>
      </c>
      <c r="G116" s="4">
        <f t="shared" si="29"/>
        <v>0</v>
      </c>
      <c r="H116" s="4">
        <f>SUM(H110:H115)</f>
        <v>0</v>
      </c>
      <c r="I116" s="4">
        <f t="shared" si="29"/>
        <v>0</v>
      </c>
      <c r="J116" s="4">
        <f t="shared" si="29"/>
        <v>0</v>
      </c>
      <c r="K116" s="4">
        <f t="shared" si="29"/>
        <v>0</v>
      </c>
      <c r="L116" s="4">
        <f>SUM(L110:L115)</f>
        <v>0</v>
      </c>
      <c r="M116" s="4">
        <f t="shared" si="29"/>
        <v>0</v>
      </c>
      <c r="N116" s="4">
        <f t="shared" si="29"/>
        <v>0</v>
      </c>
      <c r="O116" s="4">
        <f t="shared" si="29"/>
        <v>0</v>
      </c>
      <c r="P116" s="4">
        <f>SUM(P110:P115)</f>
        <v>0</v>
      </c>
      <c r="Q116" s="4">
        <f>SUM(Q110:Q115)</f>
        <v>0</v>
      </c>
      <c r="R116" s="4">
        <f>SUM(R110:R115)</f>
        <v>0</v>
      </c>
      <c r="S116" s="4">
        <f t="shared" si="29"/>
        <v>0</v>
      </c>
      <c r="T116" s="4">
        <f t="shared" si="29"/>
        <v>0</v>
      </c>
      <c r="U116" s="4">
        <f t="shared" si="29"/>
        <v>0</v>
      </c>
      <c r="V116" s="4">
        <f t="shared" si="29"/>
        <v>0</v>
      </c>
      <c r="W116" s="4">
        <f>SUM(W110:W115)</f>
        <v>0</v>
      </c>
    </row>
    <row r="117" spans="1:23" s="90" customFormat="1" ht="25.5">
      <c r="A117" s="90">
        <v>2023</v>
      </c>
      <c r="B117" s="101">
        <v>812</v>
      </c>
      <c r="C117" s="102" t="s">
        <v>314</v>
      </c>
      <c r="D117" s="70">
        <f t="shared" si="23"/>
        <v>0</v>
      </c>
      <c r="E117" s="189">
        <f>SUMIFS('Plan prihoda za unos u SAP'!$I$3:$I$501,'Plan prihoda za unos u SAP'!$C$3:$C$501,"=11",'Plan prihoda za unos u SAP'!$K$3:$K$501,"=812")</f>
        <v>0</v>
      </c>
      <c r="F117" s="189">
        <f>SUMIFS('Plan prihoda za unos u SAP'!$I$3:$I$501,'Plan prihoda za unos u SAP'!$C$3:$C$501,"=12",'Plan prihoda za unos u SAP'!$K$3:$K$501,"=812")</f>
        <v>0</v>
      </c>
      <c r="G117" s="189">
        <f>SUMIFS('Plan prihoda za unos u SAP'!$I$3:$I$501,'Plan prihoda za unos u SAP'!$C$3:$C$501,"=31",'Plan prihoda za unos u SAP'!$K$3:$K$501,"=812")</f>
        <v>0</v>
      </c>
      <c r="H117" s="189">
        <f>SUMIFS('Plan prihoda za unos u SAP'!$I$3:$I$501,'Plan prihoda za unos u SAP'!$C$3:$C$501,"=41",'Plan prihoda za unos u SAP'!$K$3:$K$501,"=812")</f>
        <v>0</v>
      </c>
      <c r="I117" s="189">
        <f>SUMIFS('Plan prihoda za unos u SAP'!$I$3:$I$501,'Plan prihoda za unos u SAP'!$C$3:$C$501,"=43",'Plan prihoda za unos u SAP'!$K$3:$K$501,"=812")</f>
        <v>0</v>
      </c>
      <c r="J117" s="189">
        <f>SUMIFS('Plan prihoda za unos u SAP'!$I$3:$I$501,'Plan prihoda za unos u SAP'!$C$3:$C$501,"=51",'Plan prihoda za unos u SAP'!$K$3:$K$501,"=812")</f>
        <v>0</v>
      </c>
      <c r="K117" s="189">
        <f>SUMIFS('Plan prihoda za unos u SAP'!$I$3:$I$501,'Plan prihoda za unos u SAP'!$C$3:$C$501,"=52",'Plan prihoda za unos u SAP'!$K$3:$K$501,"=812")</f>
        <v>0</v>
      </c>
      <c r="L117" s="189">
        <f>SUMIFS('Plan prihoda za unos u SAP'!$I$3:$I$501,'Plan prihoda za unos u SAP'!$C$3:$C$501,"=552",'Plan prihoda za unos u SAP'!$K$3:$K$501,"=812")</f>
        <v>0</v>
      </c>
      <c r="M117" s="189">
        <f>SUMIFS('Plan prihoda za unos u SAP'!$I$3:$I$501,'Plan prihoda za unos u SAP'!$C$3:$C$501,"=559",'Plan prihoda za unos u SAP'!$K$3:$K$501,"=812")</f>
        <v>0</v>
      </c>
      <c r="N117" s="189">
        <f>SUMIFS('Plan prihoda za unos u SAP'!$I$3:$I$501,'Plan prihoda za unos u SAP'!$C$3:$C$501,"=561",'Plan prihoda za unos u SAP'!$K$3:$K$501,"=812")</f>
        <v>0</v>
      </c>
      <c r="O117" s="189">
        <f>SUMIFS('Plan prihoda za unos u SAP'!$I$3:$I$501,'Plan prihoda za unos u SAP'!$C$3:$C$501,"=563",'Plan prihoda za unos u SAP'!$K$3:$K$501,"=812")</f>
        <v>0</v>
      </c>
      <c r="P117" s="189">
        <f>SUMIFS('Plan prihoda za unos u SAP'!$I$3:$I$501,'Plan prihoda za unos u SAP'!$C$3:$C$501,"=573",'Plan prihoda za unos u SAP'!$K$3:$K$501,"=812")</f>
        <v>0</v>
      </c>
      <c r="Q117" s="189">
        <f>SUMIFS('Plan prihoda za unos u SAP'!$I$3:$I$501,'Plan prihoda za unos u SAP'!$C$3:$C$501,"=575",'Plan prihoda za unos u SAP'!$K$3:$K$501,"=812")</f>
        <v>0</v>
      </c>
      <c r="R117" s="189">
        <f>SUMIFS('Plan prihoda za unos u SAP'!$I$3:$I$501,'Plan prihoda za unos u SAP'!$C$3:$C$501,"=576",'Plan prihoda za unos u SAP'!$K$3:$K$501,"=812")</f>
        <v>0</v>
      </c>
      <c r="S117" s="189">
        <f>SUMIFS('Plan prihoda za unos u SAP'!$I$3:$I$501,'Plan prihoda za unos u SAP'!$C$3:$C$501,"=61",'Plan prihoda za unos u SAP'!$K$3:$K$501,"=812")</f>
        <v>0</v>
      </c>
      <c r="T117" s="189">
        <f>SUMIFS('Plan prihoda za unos u SAP'!$I$3:$I$501,'Plan prihoda za unos u SAP'!$C$3:$C$501,"=63",'Plan prihoda za unos u SAP'!$K$3:$K$501,"=812")</f>
        <v>0</v>
      </c>
      <c r="U117" s="189">
        <f>SUMIFS('Plan prihoda za unos u SAP'!$I$3:$I$501,'Plan prihoda za unos u SAP'!$C$3:$C$501,"=71",'Plan prihoda za unos u SAP'!$K$3:$K$501,"=812")</f>
        <v>0</v>
      </c>
      <c r="V117" s="189">
        <f>SUMIFS('Plan prihoda za unos u SAP'!$I$3:$I$501,'Plan prihoda za unos u SAP'!$C$3:$C$501,"=81",'Plan prihoda za unos u SAP'!$K$3:$K$501,"=812")</f>
        <v>0</v>
      </c>
      <c r="W117" s="189">
        <f>SUMIFS('Plan prihoda za unos u SAP'!$I$3:$I$501,'Plan prihoda za unos u SAP'!$C$3:$C$501,"=83",'Plan prihoda za unos u SAP'!$K$3:$K$501,"=812")</f>
        <v>0</v>
      </c>
    </row>
    <row r="118" spans="1:23" s="90" customFormat="1">
      <c r="A118" s="90">
        <v>2023</v>
      </c>
      <c r="B118" s="101">
        <v>818</v>
      </c>
      <c r="C118" s="102" t="s">
        <v>1567</v>
      </c>
      <c r="D118" s="70">
        <f t="shared" si="23"/>
        <v>0</v>
      </c>
      <c r="E118" s="189">
        <f>SUMIFS('Plan prihoda za unos u SAP'!$I$3:$I$501,'Plan prihoda za unos u SAP'!$C$3:$C$501,"=11",'Plan prihoda za unos u SAP'!$K$3:$K$501,"=818")</f>
        <v>0</v>
      </c>
      <c r="F118" s="189">
        <f>SUMIFS('Plan prihoda za unos u SAP'!$I$3:$I$501,'Plan prihoda za unos u SAP'!$C$3:$C$501,"=12",'Plan prihoda za unos u SAP'!$K$3:$K$501,"=818")</f>
        <v>0</v>
      </c>
      <c r="G118" s="189">
        <f>SUMIFS('Plan prihoda za unos u SAP'!$I$3:$I$501,'Plan prihoda za unos u SAP'!$C$3:$C$501,"=31",'Plan prihoda za unos u SAP'!$K$3:$K$501,"=818")</f>
        <v>0</v>
      </c>
      <c r="H118" s="189">
        <f>SUMIFS('Plan prihoda za unos u SAP'!$I$3:$I$501,'Plan prihoda za unos u SAP'!$C$3:$C$501,"=41",'Plan prihoda za unos u SAP'!$K$3:$K$501,"=818")</f>
        <v>0</v>
      </c>
      <c r="I118" s="189">
        <f>SUMIFS('Plan prihoda za unos u SAP'!$I$3:$I$501,'Plan prihoda za unos u SAP'!$C$3:$C$501,"=43",'Plan prihoda za unos u SAP'!$K$3:$K$501,"=818")</f>
        <v>0</v>
      </c>
      <c r="J118" s="189">
        <f>SUMIFS('Plan prihoda za unos u SAP'!$I$3:$I$501,'Plan prihoda za unos u SAP'!$C$3:$C$501,"=51",'Plan prihoda za unos u SAP'!$K$3:$K$501,"=818")</f>
        <v>0</v>
      </c>
      <c r="K118" s="189">
        <f>SUMIFS('Plan prihoda za unos u SAP'!$I$3:$I$501,'Plan prihoda za unos u SAP'!$C$3:$C$501,"=52",'Plan prihoda za unos u SAP'!$K$3:$K$501,"=818")</f>
        <v>0</v>
      </c>
      <c r="L118" s="189">
        <f>SUMIFS('Plan prihoda za unos u SAP'!$I$3:$I$501,'Plan prihoda za unos u SAP'!$C$3:$C$501,"=552",'Plan prihoda za unos u SAP'!$K$3:$K$501,"=818")</f>
        <v>0</v>
      </c>
      <c r="M118" s="189">
        <f>SUMIFS('Plan prihoda za unos u SAP'!$I$3:$I$501,'Plan prihoda za unos u SAP'!$C$3:$C$501,"=559",'Plan prihoda za unos u SAP'!$K$3:$K$501,"=818")</f>
        <v>0</v>
      </c>
      <c r="N118" s="189">
        <f>SUMIFS('Plan prihoda za unos u SAP'!$I$3:$I$501,'Plan prihoda za unos u SAP'!$C$3:$C$501,"=561",'Plan prihoda za unos u SAP'!$K$3:$K$501,"=818")</f>
        <v>0</v>
      </c>
      <c r="O118" s="189">
        <f>SUMIFS('Plan prihoda za unos u SAP'!$I$3:$I$501,'Plan prihoda za unos u SAP'!$C$3:$C$501,"=563",'Plan prihoda za unos u SAP'!$K$3:$K$501,"=818")</f>
        <v>0</v>
      </c>
      <c r="P118" s="189">
        <f>SUMIFS('Plan prihoda za unos u SAP'!$I$3:$I$501,'Plan prihoda za unos u SAP'!$C$3:$C$501,"=573",'Plan prihoda za unos u SAP'!$K$3:$K$501,"=818")</f>
        <v>0</v>
      </c>
      <c r="Q118" s="189">
        <f>SUMIFS('Plan prihoda za unos u SAP'!$I$3:$I$501,'Plan prihoda za unos u SAP'!$C$3:$C$501,"=575",'Plan prihoda za unos u SAP'!$K$3:$K$501,"=818")</f>
        <v>0</v>
      </c>
      <c r="R118" s="189">
        <f>SUMIFS('Plan prihoda za unos u SAP'!$I$3:$I$501,'Plan prihoda za unos u SAP'!$C$3:$C$501,"=576",'Plan prihoda za unos u SAP'!$K$3:$K$501,"=818")</f>
        <v>0</v>
      </c>
      <c r="S118" s="189">
        <f>SUMIFS('Plan prihoda za unos u SAP'!$I$3:$I$501,'Plan prihoda za unos u SAP'!$C$3:$C$501,"=61",'Plan prihoda za unos u SAP'!$K$3:$K$501,"=818")</f>
        <v>0</v>
      </c>
      <c r="T118" s="189">
        <f>SUMIFS('Plan prihoda za unos u SAP'!$I$3:$I$501,'Plan prihoda za unos u SAP'!$C$3:$C$501,"=63",'Plan prihoda za unos u SAP'!$K$3:$K$501,"=818")</f>
        <v>0</v>
      </c>
      <c r="U118" s="189">
        <f>SUMIFS('Plan prihoda za unos u SAP'!$I$3:$I$501,'Plan prihoda za unos u SAP'!$C$3:$C$501,"=71",'Plan prihoda za unos u SAP'!$K$3:$K$501,"=818")</f>
        <v>0</v>
      </c>
      <c r="V118" s="189">
        <f>SUMIFS('Plan prihoda za unos u SAP'!$I$3:$I$501,'Plan prihoda za unos u SAP'!$C$3:$C$501,"=81",'Plan prihoda za unos u SAP'!$K$3:$K$501,"=818")</f>
        <v>0</v>
      </c>
      <c r="W118" s="189">
        <f>SUMIFS('Plan prihoda za unos u SAP'!$I$3:$I$501,'Plan prihoda za unos u SAP'!$C$3:$C$501,"=83",'Plan prihoda za unos u SAP'!$K$3:$K$501,"=818")</f>
        <v>0</v>
      </c>
    </row>
    <row r="119" spans="1:23" s="90" customFormat="1">
      <c r="A119" s="90">
        <v>2023</v>
      </c>
      <c r="B119" s="101">
        <v>832</v>
      </c>
      <c r="C119" s="102" t="s">
        <v>1568</v>
      </c>
      <c r="D119" s="70">
        <f t="shared" si="23"/>
        <v>0</v>
      </c>
      <c r="E119" s="189">
        <f>SUMIFS('Plan prihoda za unos u SAP'!$I$3:$I$501,'Plan prihoda za unos u SAP'!$C$3:$C$501,"=11",'Plan prihoda za unos u SAP'!$K$3:$K$501,"=832")</f>
        <v>0</v>
      </c>
      <c r="F119" s="189">
        <f>SUMIFS('Plan prihoda za unos u SAP'!$I$3:$I$501,'Plan prihoda za unos u SAP'!$C$3:$C$501,"=12",'Plan prihoda za unos u SAP'!$K$3:$K$501,"=832")</f>
        <v>0</v>
      </c>
      <c r="G119" s="189">
        <f>SUMIFS('Plan prihoda za unos u SAP'!$I$3:$I$501,'Plan prihoda za unos u SAP'!$C$3:$C$501,"=31",'Plan prihoda za unos u SAP'!$K$3:$K$501,"=832")</f>
        <v>0</v>
      </c>
      <c r="H119" s="189">
        <f>SUMIFS('Plan prihoda za unos u SAP'!$I$3:$I$501,'Plan prihoda za unos u SAP'!$C$3:$C$501,"=41",'Plan prihoda za unos u SAP'!$K$3:$K$501,"=832")</f>
        <v>0</v>
      </c>
      <c r="I119" s="189">
        <f>SUMIFS('Plan prihoda za unos u SAP'!$I$3:$I$501,'Plan prihoda za unos u SAP'!$C$3:$C$501,"=43",'Plan prihoda za unos u SAP'!$K$3:$K$501,"=832")</f>
        <v>0</v>
      </c>
      <c r="J119" s="189">
        <f>SUMIFS('Plan prihoda za unos u SAP'!$I$3:$I$501,'Plan prihoda za unos u SAP'!$C$3:$C$501,"=51",'Plan prihoda za unos u SAP'!$K$3:$K$501,"=832")</f>
        <v>0</v>
      </c>
      <c r="K119" s="189">
        <f>SUMIFS('Plan prihoda za unos u SAP'!$I$3:$I$501,'Plan prihoda za unos u SAP'!$C$3:$C$501,"=52",'Plan prihoda za unos u SAP'!$K$3:$K$501,"=832")</f>
        <v>0</v>
      </c>
      <c r="L119" s="189">
        <f>SUMIFS('Plan prihoda za unos u SAP'!$I$3:$I$501,'Plan prihoda za unos u SAP'!$C$3:$C$501,"=552",'Plan prihoda za unos u SAP'!$K$3:$K$501,"=832")</f>
        <v>0</v>
      </c>
      <c r="M119" s="189">
        <f>SUMIFS('Plan prihoda za unos u SAP'!$I$3:$I$501,'Plan prihoda za unos u SAP'!$C$3:$C$501,"=559",'Plan prihoda za unos u SAP'!$K$3:$K$501,"=832")</f>
        <v>0</v>
      </c>
      <c r="N119" s="189">
        <f>SUMIFS('Plan prihoda za unos u SAP'!$I$3:$I$501,'Plan prihoda za unos u SAP'!$C$3:$C$501,"=561",'Plan prihoda za unos u SAP'!$K$3:$K$501,"=832")</f>
        <v>0</v>
      </c>
      <c r="O119" s="189">
        <f>SUMIFS('Plan prihoda za unos u SAP'!$I$3:$I$501,'Plan prihoda za unos u SAP'!$C$3:$C$501,"=563",'Plan prihoda za unos u SAP'!$K$3:$K$501,"=832")</f>
        <v>0</v>
      </c>
      <c r="P119" s="189">
        <f>SUMIFS('Plan prihoda za unos u SAP'!$I$3:$I$501,'Plan prihoda za unos u SAP'!$C$3:$C$501,"=573",'Plan prihoda za unos u SAP'!$K$3:$K$501,"=832")</f>
        <v>0</v>
      </c>
      <c r="Q119" s="189">
        <f>SUMIFS('Plan prihoda za unos u SAP'!$I$3:$I$501,'Plan prihoda za unos u SAP'!$C$3:$C$501,"=575",'Plan prihoda za unos u SAP'!$K$3:$K$501,"=832")</f>
        <v>0</v>
      </c>
      <c r="R119" s="189">
        <f>SUMIFS('Plan prihoda za unos u SAP'!$I$3:$I$501,'Plan prihoda za unos u SAP'!$C$3:$C$501,"=576",'Plan prihoda za unos u SAP'!$K$3:$K$501,"=832")</f>
        <v>0</v>
      </c>
      <c r="S119" s="189">
        <f>SUMIFS('Plan prihoda za unos u SAP'!$I$3:$I$501,'Plan prihoda za unos u SAP'!$C$3:$C$501,"=61",'Plan prihoda za unos u SAP'!$K$3:$K$501,"=832")</f>
        <v>0</v>
      </c>
      <c r="T119" s="189">
        <f>SUMIFS('Plan prihoda za unos u SAP'!$I$3:$I$501,'Plan prihoda za unos u SAP'!$C$3:$C$501,"=63",'Plan prihoda za unos u SAP'!$K$3:$K$501,"=832")</f>
        <v>0</v>
      </c>
      <c r="U119" s="189">
        <f>SUMIFS('Plan prihoda za unos u SAP'!$I$3:$I$501,'Plan prihoda za unos u SAP'!$C$3:$C$501,"=71",'Plan prihoda za unos u SAP'!$K$3:$K$501,"=832")</f>
        <v>0</v>
      </c>
      <c r="V119" s="189">
        <f>SUMIFS('Plan prihoda za unos u SAP'!$I$3:$I$501,'Plan prihoda za unos u SAP'!$C$3:$C$501,"=81",'Plan prihoda za unos u SAP'!$K$3:$K$501,"=832")</f>
        <v>0</v>
      </c>
      <c r="W119" s="189">
        <f>SUMIFS('Plan prihoda za unos u SAP'!$I$3:$I$501,'Plan prihoda za unos u SAP'!$C$3:$C$501,"=83",'Plan prihoda za unos u SAP'!$K$3:$K$501,"=832")</f>
        <v>0</v>
      </c>
    </row>
    <row r="120" spans="1:23" s="90" customFormat="1" ht="25.5">
      <c r="A120" s="90">
        <v>2023</v>
      </c>
      <c r="B120" s="277">
        <v>833</v>
      </c>
      <c r="C120" s="102" t="s">
        <v>2136</v>
      </c>
      <c r="D120" s="70">
        <f t="shared" ref="D120" si="30">SUM(E120:W120)</f>
        <v>0</v>
      </c>
      <c r="E120" s="189">
        <f>SUMIFS('Plan prihoda za unos u SAP'!$I$3:$I$501,'Plan prihoda za unos u SAP'!$C$3:$C$501,"=11",'Plan prihoda za unos u SAP'!$K$3:$K$501,"=833")</f>
        <v>0</v>
      </c>
      <c r="F120" s="189">
        <f>SUMIFS('Plan prihoda za unos u SAP'!$I$3:$I$501,'Plan prihoda za unos u SAP'!$C$3:$C$501,"=12",'Plan prihoda za unos u SAP'!$K$3:$K$501,"=833")</f>
        <v>0</v>
      </c>
      <c r="G120" s="189">
        <f>SUMIFS('Plan prihoda za unos u SAP'!$I$3:$I$501,'Plan prihoda za unos u SAP'!$C$3:$C$501,"=31",'Plan prihoda za unos u SAP'!$K$3:$K$501,"=833")</f>
        <v>0</v>
      </c>
      <c r="H120" s="189">
        <f>SUMIFS('Plan prihoda za unos u SAP'!$I$3:$I$501,'Plan prihoda za unos u SAP'!$C$3:$C$501,"=41",'Plan prihoda za unos u SAP'!$K$3:$K$501,"=833")</f>
        <v>0</v>
      </c>
      <c r="I120" s="189">
        <f>SUMIFS('Plan prihoda za unos u SAP'!$I$3:$I$501,'Plan prihoda za unos u SAP'!$C$3:$C$501,"=43",'Plan prihoda za unos u SAP'!$K$3:$K$501,"=833")</f>
        <v>0</v>
      </c>
      <c r="J120" s="189">
        <f>SUMIFS('Plan prihoda za unos u SAP'!$I$3:$I$501,'Plan prihoda za unos u SAP'!$C$3:$C$501,"=51",'Plan prihoda za unos u SAP'!$K$3:$K$501,"=833")</f>
        <v>0</v>
      </c>
      <c r="K120" s="189">
        <f>SUMIFS('Plan prihoda za unos u SAP'!$I$3:$I$501,'Plan prihoda za unos u SAP'!$C$3:$C$501,"=52",'Plan prihoda za unos u SAP'!$K$3:$K$501,"=833")</f>
        <v>0</v>
      </c>
      <c r="L120" s="189">
        <f>SUMIFS('Plan prihoda za unos u SAP'!$I$3:$I$501,'Plan prihoda za unos u SAP'!$C$3:$C$501,"=552",'Plan prihoda za unos u SAP'!$K$3:$K$501,"=833")</f>
        <v>0</v>
      </c>
      <c r="M120" s="189">
        <f>SUMIFS('Plan prihoda za unos u SAP'!$I$3:$I$501,'Plan prihoda za unos u SAP'!$C$3:$C$501,"=559",'Plan prihoda za unos u SAP'!$K$3:$K$501,"=833")</f>
        <v>0</v>
      </c>
      <c r="N120" s="189">
        <f>SUMIFS('Plan prihoda za unos u SAP'!$I$3:$I$501,'Plan prihoda za unos u SAP'!$C$3:$C$501,"=561",'Plan prihoda za unos u SAP'!$K$3:$K$501,"=833")</f>
        <v>0</v>
      </c>
      <c r="O120" s="189">
        <f>SUMIFS('Plan prihoda za unos u SAP'!$I$3:$I$501,'Plan prihoda za unos u SAP'!$C$3:$C$501,"=563",'Plan prihoda za unos u SAP'!$K$3:$K$501,"=833")</f>
        <v>0</v>
      </c>
      <c r="P120" s="189">
        <f>SUMIFS('Plan prihoda za unos u SAP'!$I$3:$I$501,'Plan prihoda za unos u SAP'!$C$3:$C$501,"=573",'Plan prihoda za unos u SAP'!$K$3:$K$501,"=833")</f>
        <v>0</v>
      </c>
      <c r="Q120" s="189">
        <f>SUMIFS('Plan prihoda za unos u SAP'!$I$3:$I$501,'Plan prihoda za unos u SAP'!$C$3:$C$501,"=575",'Plan prihoda za unos u SAP'!$K$3:$K$501,"=833")</f>
        <v>0</v>
      </c>
      <c r="R120" s="189">
        <f>SUMIFS('Plan prihoda za unos u SAP'!$I$3:$I$501,'Plan prihoda za unos u SAP'!$C$3:$C$501,"=576",'Plan prihoda za unos u SAP'!$K$3:$K$501,"=833")</f>
        <v>0</v>
      </c>
      <c r="S120" s="189">
        <f>SUMIFS('Plan prihoda za unos u SAP'!$I$3:$I$501,'Plan prihoda za unos u SAP'!$C$3:$C$501,"=61",'Plan prihoda za unos u SAP'!$K$3:$K$501,"=833")</f>
        <v>0</v>
      </c>
      <c r="T120" s="189">
        <f>SUMIFS('Plan prihoda za unos u SAP'!$I$3:$I$501,'Plan prihoda za unos u SAP'!$C$3:$C$501,"=63",'Plan prihoda za unos u SAP'!$K$3:$K$501,"=833")</f>
        <v>0</v>
      </c>
      <c r="U120" s="189">
        <f>SUMIFS('Plan prihoda za unos u SAP'!$I$3:$I$501,'Plan prihoda za unos u SAP'!$C$3:$C$501,"=71",'Plan prihoda za unos u SAP'!$K$3:$K$501,"=833")</f>
        <v>0</v>
      </c>
      <c r="V120" s="189">
        <f>SUMIFS('Plan prihoda za unos u SAP'!$I$3:$I$501,'Plan prihoda za unos u SAP'!$C$3:$C$501,"=81",'Plan prihoda za unos u SAP'!$K$3:$K$501,"=833")</f>
        <v>0</v>
      </c>
      <c r="W120" s="189">
        <f>SUMIFS('Plan prihoda za unos u SAP'!$I$3:$I$501,'Plan prihoda za unos u SAP'!$C$3:$C$501,"=83",'Plan prihoda za unos u SAP'!$K$3:$K$501,"=833")</f>
        <v>0</v>
      </c>
    </row>
    <row r="121" spans="1:23" s="90" customFormat="1" ht="25.5">
      <c r="A121" s="90">
        <v>2023</v>
      </c>
      <c r="B121" s="101">
        <v>841</v>
      </c>
      <c r="C121" s="102" t="s">
        <v>1569</v>
      </c>
      <c r="D121" s="70">
        <f t="shared" si="23"/>
        <v>0</v>
      </c>
      <c r="E121" s="189">
        <f>SUMIFS('Plan prihoda za unos u SAP'!$I$3:$I$501,'Plan prihoda za unos u SAP'!$C$3:$C$501,"=11",'Plan prihoda za unos u SAP'!$K$3:$K$501,"=841")</f>
        <v>0</v>
      </c>
      <c r="F121" s="189">
        <f>SUMIFS('Plan prihoda za unos u SAP'!$I$3:$I$501,'Plan prihoda za unos u SAP'!$C$3:$C$501,"=12",'Plan prihoda za unos u SAP'!$K$3:$K$501,"=841")</f>
        <v>0</v>
      </c>
      <c r="G121" s="189">
        <f>SUMIFS('Plan prihoda za unos u SAP'!$I$3:$I$501,'Plan prihoda za unos u SAP'!$C$3:$C$501,"=31",'Plan prihoda za unos u SAP'!$K$3:$K$501,"=841")</f>
        <v>0</v>
      </c>
      <c r="H121" s="189">
        <f>SUMIFS('Plan prihoda za unos u SAP'!$I$3:$I$501,'Plan prihoda za unos u SAP'!$C$3:$C$501,"=41",'Plan prihoda za unos u SAP'!$K$3:$K$501,"=841")</f>
        <v>0</v>
      </c>
      <c r="I121" s="189">
        <f>SUMIFS('Plan prihoda za unos u SAP'!$I$3:$I$501,'Plan prihoda za unos u SAP'!$C$3:$C$501,"=43",'Plan prihoda za unos u SAP'!$K$3:$K$501,"=841")</f>
        <v>0</v>
      </c>
      <c r="J121" s="189">
        <f>SUMIFS('Plan prihoda za unos u SAP'!$I$3:$I$501,'Plan prihoda za unos u SAP'!$C$3:$C$501,"=51",'Plan prihoda za unos u SAP'!$K$3:$K$501,"=841")</f>
        <v>0</v>
      </c>
      <c r="K121" s="189">
        <f>SUMIFS('Plan prihoda za unos u SAP'!$I$3:$I$501,'Plan prihoda za unos u SAP'!$C$3:$C$501,"=52",'Plan prihoda za unos u SAP'!$K$3:$K$501,"=841")</f>
        <v>0</v>
      </c>
      <c r="L121" s="189">
        <f>SUMIFS('Plan prihoda za unos u SAP'!$I$3:$I$501,'Plan prihoda za unos u SAP'!$C$3:$C$501,"=552",'Plan prihoda za unos u SAP'!$K$3:$K$501,"=841")</f>
        <v>0</v>
      </c>
      <c r="M121" s="189">
        <f>SUMIFS('Plan prihoda za unos u SAP'!$I$3:$I$501,'Plan prihoda za unos u SAP'!$C$3:$C$501,"=559",'Plan prihoda za unos u SAP'!$K$3:$K$501,"=841")</f>
        <v>0</v>
      </c>
      <c r="N121" s="189">
        <f>SUMIFS('Plan prihoda za unos u SAP'!$I$3:$I$501,'Plan prihoda za unos u SAP'!$C$3:$C$501,"=561",'Plan prihoda za unos u SAP'!$K$3:$K$501,"=841")</f>
        <v>0</v>
      </c>
      <c r="O121" s="189">
        <f>SUMIFS('Plan prihoda za unos u SAP'!$I$3:$I$501,'Plan prihoda za unos u SAP'!$C$3:$C$501,"=563",'Plan prihoda za unos u SAP'!$K$3:$K$501,"=841")</f>
        <v>0</v>
      </c>
      <c r="P121" s="189">
        <f>SUMIFS('Plan prihoda za unos u SAP'!$I$3:$I$501,'Plan prihoda za unos u SAP'!$C$3:$C$501,"=573",'Plan prihoda za unos u SAP'!$K$3:$K$501,"=841")</f>
        <v>0</v>
      </c>
      <c r="Q121" s="189">
        <f>SUMIFS('Plan prihoda za unos u SAP'!$I$3:$I$501,'Plan prihoda za unos u SAP'!$C$3:$C$501,"=575",'Plan prihoda za unos u SAP'!$K$3:$K$501,"=841")</f>
        <v>0</v>
      </c>
      <c r="R121" s="189">
        <f>SUMIFS('Plan prihoda za unos u SAP'!$I$3:$I$501,'Plan prihoda za unos u SAP'!$C$3:$C$501,"=576",'Plan prihoda za unos u SAP'!$K$3:$K$501,"=841")</f>
        <v>0</v>
      </c>
      <c r="S121" s="189">
        <f>SUMIFS('Plan prihoda za unos u SAP'!$I$3:$I$501,'Plan prihoda za unos u SAP'!$C$3:$C$501,"=61",'Plan prihoda za unos u SAP'!$K$3:$K$501,"=841")</f>
        <v>0</v>
      </c>
      <c r="T121" s="189">
        <f>SUMIFS('Plan prihoda za unos u SAP'!$I$3:$I$501,'Plan prihoda za unos u SAP'!$C$3:$C$501,"=63",'Plan prihoda za unos u SAP'!$K$3:$K$501,"=841")</f>
        <v>0</v>
      </c>
      <c r="U121" s="189">
        <f>SUMIFS('Plan prihoda za unos u SAP'!$I$3:$I$501,'Plan prihoda za unos u SAP'!$C$3:$C$501,"=71",'Plan prihoda za unos u SAP'!$K$3:$K$501,"=841")</f>
        <v>0</v>
      </c>
      <c r="V121" s="189">
        <f>SUMIFS('Plan prihoda za unos u SAP'!$I$3:$I$501,'Plan prihoda za unos u SAP'!$C$3:$C$501,"=81",'Plan prihoda za unos u SAP'!$K$3:$K$501,"=841")</f>
        <v>0</v>
      </c>
      <c r="W121" s="189">
        <f>SUMIFS('Plan prihoda za unos u SAP'!$I$3:$I$501,'Plan prihoda za unos u SAP'!$C$3:$C$501,"=83",'Plan prihoda za unos u SAP'!$K$3:$K$501,"=841")</f>
        <v>0</v>
      </c>
    </row>
    <row r="122" spans="1:23" s="90" customFormat="1" ht="25.5">
      <c r="A122" s="90">
        <v>2023</v>
      </c>
      <c r="B122" s="101">
        <v>842</v>
      </c>
      <c r="C122" s="102" t="s">
        <v>324</v>
      </c>
      <c r="D122" s="70">
        <f>SUM(E122:W122)</f>
        <v>0</v>
      </c>
      <c r="E122" s="189">
        <f>SUMIFS('Plan prihoda za unos u SAP'!$I$3:$I$501,'Plan prihoda za unos u SAP'!$C$3:$C$501,"=11",'Plan prihoda za unos u SAP'!$K$3:$K$501,"=841")</f>
        <v>0</v>
      </c>
      <c r="F122" s="189">
        <f>SUMIFS('Plan prihoda za unos u SAP'!$I$3:$I$501,'Plan prihoda za unos u SAP'!$C$3:$C$501,"=12",'Plan prihoda za unos u SAP'!$K$3:$K$501,"=841")</f>
        <v>0</v>
      </c>
      <c r="G122" s="189">
        <f>SUMIFS('Plan prihoda za unos u SAP'!$I$3:$I$501,'Plan prihoda za unos u SAP'!$C$3:$C$501,"=31",'Plan prihoda za unos u SAP'!$K$3:$K$501,"=841")</f>
        <v>0</v>
      </c>
      <c r="H122" s="189">
        <f>SUMIFS('Plan prihoda za unos u SAP'!$I$3:$I$501,'Plan prihoda za unos u SAP'!$C$3:$C$501,"=41",'Plan prihoda za unos u SAP'!$K$3:$K$501,"=841")</f>
        <v>0</v>
      </c>
      <c r="I122" s="189">
        <f>SUMIFS('Plan prihoda za unos u SAP'!$I$3:$I$501,'Plan prihoda za unos u SAP'!$C$3:$C$501,"=43",'Plan prihoda za unos u SAP'!$K$3:$K$501,"=841")</f>
        <v>0</v>
      </c>
      <c r="J122" s="189">
        <f>SUMIFS('Plan prihoda za unos u SAP'!$I$3:$I$501,'Plan prihoda za unos u SAP'!$C$3:$C$501,"=51",'Plan prihoda za unos u SAP'!$K$3:$K$501,"=841")</f>
        <v>0</v>
      </c>
      <c r="K122" s="189">
        <f>SUMIFS('Plan prihoda za unos u SAP'!$I$3:$I$501,'Plan prihoda za unos u SAP'!$C$3:$C$501,"=52",'Plan prihoda za unos u SAP'!$K$3:$K$501,"=841")</f>
        <v>0</v>
      </c>
      <c r="L122" s="189">
        <f>SUMIFS('Plan prihoda za unos u SAP'!$I$3:$I$501,'Plan prihoda za unos u SAP'!$C$3:$C$501,"=552",'Plan prihoda za unos u SAP'!$K$3:$K$501,"=841")</f>
        <v>0</v>
      </c>
      <c r="M122" s="189">
        <f>SUMIFS('Plan prihoda za unos u SAP'!$I$3:$I$501,'Plan prihoda za unos u SAP'!$C$3:$C$501,"=559",'Plan prihoda za unos u SAP'!$K$3:$K$501,"=841")</f>
        <v>0</v>
      </c>
      <c r="N122" s="189">
        <f>SUMIFS('Plan prihoda za unos u SAP'!$I$3:$I$501,'Plan prihoda za unos u SAP'!$C$3:$C$501,"=561",'Plan prihoda za unos u SAP'!$K$3:$K$501,"=841")</f>
        <v>0</v>
      </c>
      <c r="O122" s="189">
        <f>SUMIFS('Plan prihoda za unos u SAP'!$I$3:$I$501,'Plan prihoda za unos u SAP'!$C$3:$C$501,"=563",'Plan prihoda za unos u SAP'!$K$3:$K$501,"=841")</f>
        <v>0</v>
      </c>
      <c r="P122" s="189">
        <f>SUMIFS('Plan prihoda za unos u SAP'!$I$3:$I$501,'Plan prihoda za unos u SAP'!$C$3:$C$501,"=573",'Plan prihoda za unos u SAP'!$K$3:$K$501,"=841")</f>
        <v>0</v>
      </c>
      <c r="Q122" s="189">
        <f>SUMIFS('Plan prihoda za unos u SAP'!$I$3:$I$501,'Plan prihoda za unos u SAP'!$C$3:$C$501,"=575",'Plan prihoda za unos u SAP'!$K$3:$K$501,"=841")</f>
        <v>0</v>
      </c>
      <c r="R122" s="189">
        <f>SUMIFS('Plan prihoda za unos u SAP'!$I$3:$I$501,'Plan prihoda za unos u SAP'!$C$3:$C$501,"=576",'Plan prihoda za unos u SAP'!$K$3:$K$501,"=841")</f>
        <v>0</v>
      </c>
      <c r="S122" s="189">
        <f>SUMIFS('Plan prihoda za unos u SAP'!$I$3:$I$501,'Plan prihoda za unos u SAP'!$C$3:$C$501,"=61",'Plan prihoda za unos u SAP'!$K$3:$K$501,"=841")</f>
        <v>0</v>
      </c>
      <c r="T122" s="189">
        <f>SUMIFS('Plan prihoda za unos u SAP'!$I$3:$I$501,'Plan prihoda za unos u SAP'!$C$3:$C$501,"=63",'Plan prihoda za unos u SAP'!$K$3:$K$501,"=841")</f>
        <v>0</v>
      </c>
      <c r="U122" s="189">
        <f>SUMIFS('Plan prihoda za unos u SAP'!$I$3:$I$501,'Plan prihoda za unos u SAP'!$C$3:$C$501,"=71",'Plan prihoda za unos u SAP'!$K$3:$K$501,"=841")</f>
        <v>0</v>
      </c>
      <c r="V122" s="189">
        <f>SUMIFS('Plan prihoda za unos u SAP'!$I$3:$I$501,'Plan prihoda za unos u SAP'!$C$3:$C$501,"=81",'Plan prihoda za unos u SAP'!$K$3:$K$501,"=841")</f>
        <v>0</v>
      </c>
      <c r="W122" s="189">
        <f>SUMIFS('Plan prihoda za unos u SAP'!$I$3:$I$501,'Plan prihoda za unos u SAP'!$C$3:$C$501,"=83",'Plan prihoda za unos u SAP'!$K$3:$K$501,"=841")</f>
        <v>0</v>
      </c>
    </row>
    <row r="123" spans="1:23" s="90" customFormat="1">
      <c r="A123" s="90">
        <v>2023</v>
      </c>
      <c r="B123" s="98" t="s">
        <v>315</v>
      </c>
      <c r="C123" s="99" t="s">
        <v>306</v>
      </c>
      <c r="D123" s="70">
        <f t="shared" si="23"/>
        <v>0</v>
      </c>
      <c r="E123" s="4">
        <f>SUM(E117:E122)</f>
        <v>0</v>
      </c>
      <c r="F123" s="4">
        <f t="shared" ref="F123:V123" si="31">SUM(F117:F122)</f>
        <v>0</v>
      </c>
      <c r="G123" s="4">
        <f t="shared" si="31"/>
        <v>0</v>
      </c>
      <c r="H123" s="4">
        <f>SUM(H117:H122)</f>
        <v>0</v>
      </c>
      <c r="I123" s="4">
        <f t="shared" si="31"/>
        <v>0</v>
      </c>
      <c r="J123" s="4">
        <f t="shared" si="31"/>
        <v>0</v>
      </c>
      <c r="K123" s="4">
        <f>SUM(K117:K122)</f>
        <v>0</v>
      </c>
      <c r="L123" s="4">
        <f>SUM(L117:L122)</f>
        <v>0</v>
      </c>
      <c r="M123" s="4">
        <f t="shared" si="31"/>
        <v>0</v>
      </c>
      <c r="N123" s="4">
        <f t="shared" si="31"/>
        <v>0</v>
      </c>
      <c r="O123" s="4">
        <f t="shared" si="31"/>
        <v>0</v>
      </c>
      <c r="P123" s="4">
        <f>SUM(P117:P122)</f>
        <v>0</v>
      </c>
      <c r="Q123" s="4">
        <f>SUM(Q117:Q122)</f>
        <v>0</v>
      </c>
      <c r="R123" s="4">
        <f>SUM(R117:R122)</f>
        <v>0</v>
      </c>
      <c r="S123" s="4">
        <f t="shared" si="31"/>
        <v>0</v>
      </c>
      <c r="T123" s="4">
        <f t="shared" si="31"/>
        <v>0</v>
      </c>
      <c r="U123" s="4">
        <f t="shared" si="31"/>
        <v>0</v>
      </c>
      <c r="V123" s="4">
        <f t="shared" si="31"/>
        <v>0</v>
      </c>
      <c r="W123" s="4">
        <f>SUM(W117:W122)</f>
        <v>0</v>
      </c>
    </row>
    <row r="124" spans="1:23" s="90" customFormat="1" ht="21" customHeight="1">
      <c r="A124" s="90">
        <v>2023</v>
      </c>
      <c r="B124" s="296" t="s">
        <v>316</v>
      </c>
      <c r="C124" s="296"/>
      <c r="D124" s="71">
        <f>SUM(E124:W124)</f>
        <v>8578153</v>
      </c>
      <c r="E124" s="71">
        <f>+E123+E116+E109</f>
        <v>7978703</v>
      </c>
      <c r="F124" s="71">
        <f t="shared" ref="F124:W124" si="32">+F123+F116+F109</f>
        <v>0</v>
      </c>
      <c r="G124" s="71">
        <f t="shared" si="32"/>
        <v>83100</v>
      </c>
      <c r="H124" s="71">
        <f>+H123+H116+H109</f>
        <v>0</v>
      </c>
      <c r="I124" s="71">
        <f t="shared" si="32"/>
        <v>496350</v>
      </c>
      <c r="J124" s="71">
        <f t="shared" si="32"/>
        <v>0</v>
      </c>
      <c r="K124" s="71">
        <f t="shared" si="32"/>
        <v>20000</v>
      </c>
      <c r="L124" s="71">
        <f>+L123+L116+L109</f>
        <v>0</v>
      </c>
      <c r="M124" s="71">
        <f t="shared" si="32"/>
        <v>0</v>
      </c>
      <c r="N124" s="71">
        <f t="shared" si="32"/>
        <v>0</v>
      </c>
      <c r="O124" s="71">
        <f t="shared" si="32"/>
        <v>0</v>
      </c>
      <c r="P124" s="71">
        <f t="shared" si="32"/>
        <v>0</v>
      </c>
      <c r="Q124" s="71">
        <f t="shared" si="32"/>
        <v>0</v>
      </c>
      <c r="R124" s="71">
        <f>+R123+R116+R109</f>
        <v>0</v>
      </c>
      <c r="S124" s="71">
        <f t="shared" si="32"/>
        <v>0</v>
      </c>
      <c r="T124" s="71">
        <f t="shared" si="32"/>
        <v>0</v>
      </c>
      <c r="U124" s="71">
        <f t="shared" si="32"/>
        <v>0</v>
      </c>
      <c r="V124" s="71">
        <f t="shared" si="32"/>
        <v>0</v>
      </c>
      <c r="W124" s="71">
        <f t="shared" si="32"/>
        <v>0</v>
      </c>
    </row>
    <row r="125" spans="1:23">
      <c r="B125" s="62"/>
      <c r="C125" s="62"/>
      <c r="D125" s="62"/>
      <c r="E125" s="62"/>
      <c r="F125" s="62"/>
      <c r="G125" s="62"/>
      <c r="H125" s="62"/>
      <c r="I125" s="103"/>
      <c r="J125" s="104"/>
      <c r="K125" s="104"/>
      <c r="L125" s="104"/>
      <c r="M125" s="104"/>
      <c r="N125" s="104"/>
      <c r="O125" s="104"/>
      <c r="P125" s="104"/>
      <c r="Q125" s="104"/>
      <c r="R125" s="104"/>
      <c r="V125" s="91"/>
      <c r="W125" s="91"/>
    </row>
    <row r="126" spans="1:23">
      <c r="G126" s="5"/>
      <c r="H126" s="5"/>
      <c r="I126" s="63"/>
      <c r="J126" s="105"/>
      <c r="K126" s="105"/>
      <c r="L126" s="105"/>
      <c r="M126" s="105"/>
      <c r="N126" s="105"/>
      <c r="O126" s="105"/>
      <c r="P126" s="105"/>
      <c r="Q126" s="105"/>
      <c r="R126" s="105"/>
    </row>
    <row r="127" spans="1:23">
      <c r="G127" s="5"/>
      <c r="H127" s="5"/>
      <c r="I127" s="106"/>
      <c r="J127" s="107"/>
      <c r="K127" s="107"/>
      <c r="L127" s="107"/>
      <c r="M127" s="107"/>
      <c r="N127" s="107"/>
      <c r="O127" s="107"/>
      <c r="P127" s="107"/>
      <c r="Q127" s="107"/>
      <c r="R127" s="107"/>
    </row>
    <row r="128" spans="1:23">
      <c r="B128" s="5"/>
      <c r="C128" s="5"/>
      <c r="D128" s="5"/>
      <c r="E128" s="5"/>
      <c r="F128" s="5"/>
      <c r="G128" s="5"/>
      <c r="H128" s="5"/>
      <c r="I128" s="64"/>
      <c r="J128" s="5"/>
      <c r="K128" s="5"/>
      <c r="L128" s="5"/>
      <c r="M128" s="5"/>
      <c r="N128" s="5"/>
      <c r="O128" s="5"/>
      <c r="P128" s="5"/>
      <c r="Q128" s="5"/>
      <c r="R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5"/>
      <c r="K130" s="5"/>
      <c r="L130" s="5"/>
      <c r="M130" s="5"/>
      <c r="N130" s="5"/>
      <c r="O130" s="5"/>
      <c r="P130" s="5"/>
      <c r="Q130" s="5"/>
      <c r="R130" s="5"/>
    </row>
    <row r="131" spans="2:18">
      <c r="B131" s="5"/>
      <c r="C131" s="5"/>
      <c r="D131" s="5"/>
      <c r="E131" s="5"/>
      <c r="F131" s="5"/>
      <c r="G131" s="5"/>
      <c r="H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5"/>
      <c r="K132" s="5"/>
      <c r="L132" s="5"/>
      <c r="M132" s="5"/>
      <c r="N132" s="5"/>
      <c r="O132" s="5"/>
      <c r="P132" s="5"/>
      <c r="Q132" s="5"/>
      <c r="R132" s="5"/>
    </row>
    <row r="133" spans="2:18">
      <c r="B133" s="5"/>
      <c r="C133" s="5"/>
      <c r="D133" s="5"/>
      <c r="E133" s="5"/>
      <c r="F133" s="5"/>
      <c r="G133" s="5"/>
      <c r="H133" s="5"/>
      <c r="I133" s="64"/>
      <c r="J133" s="66"/>
      <c r="K133" s="66"/>
      <c r="L133" s="66"/>
      <c r="M133" s="66"/>
      <c r="N133" s="66"/>
      <c r="O133" s="66"/>
      <c r="P133" s="66"/>
      <c r="Q133" s="66"/>
      <c r="R133" s="66"/>
    </row>
    <row r="134" spans="2:18">
      <c r="B134" s="5"/>
      <c r="C134" s="5"/>
      <c r="D134" s="5"/>
      <c r="E134" s="5"/>
      <c r="F134" s="5"/>
      <c r="G134" s="5"/>
      <c r="H134" s="5"/>
      <c r="I134" s="64"/>
      <c r="J134" s="5"/>
      <c r="K134" s="5"/>
      <c r="L134" s="5"/>
      <c r="M134" s="5"/>
      <c r="N134" s="5"/>
      <c r="O134" s="5"/>
      <c r="P134" s="5"/>
      <c r="Q134" s="5"/>
      <c r="R134" s="5"/>
    </row>
    <row r="135" spans="2:18">
      <c r="B135" s="5"/>
      <c r="C135" s="5"/>
      <c r="D135" s="5"/>
      <c r="E135" s="5"/>
      <c r="F135" s="5"/>
      <c r="G135" s="5"/>
      <c r="H135" s="5"/>
      <c r="I135" s="64"/>
      <c r="J135" s="108"/>
      <c r="K135" s="108"/>
      <c r="L135" s="108"/>
      <c r="M135" s="108"/>
      <c r="N135" s="108"/>
      <c r="O135" s="108"/>
      <c r="P135" s="108"/>
      <c r="Q135" s="108"/>
      <c r="R135" s="108"/>
    </row>
    <row r="136" spans="2:18">
      <c r="I136" s="106"/>
      <c r="J136" s="109"/>
      <c r="K136" s="109"/>
      <c r="L136" s="109"/>
      <c r="M136" s="109"/>
      <c r="N136" s="109"/>
      <c r="O136" s="109"/>
      <c r="P136" s="109"/>
      <c r="Q136" s="109"/>
      <c r="R136" s="109"/>
    </row>
  </sheetData>
  <sheetProtection password="DE31" sheet="1" objects="1" scenarios="1" selectLockedCells="1"/>
  <mergeCells count="10">
    <mergeCell ref="B1:V1"/>
    <mergeCell ref="B3:C3"/>
    <mergeCell ref="D3:V3"/>
    <mergeCell ref="B42:C42"/>
    <mergeCell ref="B83:C83"/>
    <mergeCell ref="B85:C85"/>
    <mergeCell ref="D85:V85"/>
    <mergeCell ref="B124:C124"/>
    <mergeCell ref="B44:C44"/>
    <mergeCell ref="D44:V44"/>
  </mergeCells>
  <phoneticPr fontId="39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 xr:uid="{00000000-0002-0000-0400-000000000000}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42" max="16383" man="1"/>
    <brk id="8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JC3684"/>
  <sheetViews>
    <sheetView showGridLines="0" zoomScale="80" zoomScaleNormal="80" zoomScaleSheetLayoutView="80" workbookViewId="0">
      <pane xSplit="4" ySplit="3" topLeftCell="E70" activePane="bottomRight" state="frozen"/>
      <selection pane="topRight" activeCell="D1" sqref="D1"/>
      <selection pane="bottomLeft" activeCell="A4" sqref="A4"/>
      <selection pane="bottomRight" activeCell="R90" sqref="R90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0" width="13.140625" style="25" customWidth="1"/>
    <col min="21" max="21" width="14.7109375" style="25" customWidth="1"/>
    <col min="22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98" t="s">
        <v>2144</v>
      </c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298"/>
      <c r="V1" s="298"/>
      <c r="W1" s="217"/>
    </row>
    <row r="2" spans="1:263" s="74" customFormat="1" ht="63.75">
      <c r="A2" s="93" t="s">
        <v>2139</v>
      </c>
      <c r="B2" s="93" t="s">
        <v>202</v>
      </c>
      <c r="C2" s="93" t="s">
        <v>203</v>
      </c>
      <c r="D2" s="2" t="s">
        <v>354</v>
      </c>
      <c r="E2" s="2" t="s">
        <v>40</v>
      </c>
      <c r="F2" s="2" t="s">
        <v>325</v>
      </c>
      <c r="G2" s="93" t="s">
        <v>19</v>
      </c>
      <c r="H2" s="93" t="s">
        <v>1560</v>
      </c>
      <c r="I2" s="93" t="s">
        <v>20</v>
      </c>
      <c r="J2" s="93" t="s">
        <v>273</v>
      </c>
      <c r="K2" s="93" t="s">
        <v>274</v>
      </c>
      <c r="L2" s="93" t="s">
        <v>1561</v>
      </c>
      <c r="M2" s="93" t="s">
        <v>275</v>
      </c>
      <c r="N2" s="93" t="s">
        <v>276</v>
      </c>
      <c r="O2" s="93" t="s">
        <v>277</v>
      </c>
      <c r="P2" s="93" t="s">
        <v>1562</v>
      </c>
      <c r="Q2" s="93" t="s">
        <v>1563</v>
      </c>
      <c r="R2" s="93" t="s">
        <v>2133</v>
      </c>
      <c r="S2" s="93" t="s">
        <v>278</v>
      </c>
      <c r="T2" s="93" t="s">
        <v>279</v>
      </c>
      <c r="U2" s="93" t="s">
        <v>1534</v>
      </c>
      <c r="V2" s="93" t="s">
        <v>1533</v>
      </c>
      <c r="W2" s="93" t="s">
        <v>1535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359</v>
      </c>
      <c r="D3" s="120">
        <f>SUM(E3:W3)</f>
        <v>8315000</v>
      </c>
      <c r="E3" s="121">
        <f t="shared" ref="E3:W3" si="0">E4+E38+E58</f>
        <v>7674900</v>
      </c>
      <c r="F3" s="121">
        <f t="shared" si="0"/>
        <v>0</v>
      </c>
      <c r="G3" s="121">
        <f t="shared" si="0"/>
        <v>70100</v>
      </c>
      <c r="H3" s="121">
        <f>H4+H38+H58</f>
        <v>0</v>
      </c>
      <c r="I3" s="121">
        <f t="shared" si="0"/>
        <v>550000</v>
      </c>
      <c r="J3" s="121">
        <f t="shared" si="0"/>
        <v>0</v>
      </c>
      <c r="K3" s="121">
        <f t="shared" si="0"/>
        <v>20000</v>
      </c>
      <c r="L3" s="121">
        <f>L4+L38+L58</f>
        <v>0</v>
      </c>
      <c r="M3" s="121">
        <f t="shared" si="0"/>
        <v>0</v>
      </c>
      <c r="N3" s="121">
        <f t="shared" si="0"/>
        <v>0</v>
      </c>
      <c r="O3" s="121">
        <f t="shared" si="0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 t="shared" si="0"/>
        <v>0</v>
      </c>
      <c r="T3" s="121">
        <f t="shared" si="0"/>
        <v>0</v>
      </c>
      <c r="U3" s="121">
        <f t="shared" si="0"/>
        <v>0</v>
      </c>
      <c r="V3" s="121">
        <f t="shared" si="0"/>
        <v>0</v>
      </c>
      <c r="W3" s="121">
        <f t="shared" si="0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204</v>
      </c>
      <c r="D4" s="124">
        <f t="shared" ref="D4:D67" si="1">SUM(E4:W4)</f>
        <v>8255000</v>
      </c>
      <c r="E4" s="125">
        <f>E5+E9+E15+E19+E23+E30+E33</f>
        <v>7674900</v>
      </c>
      <c r="F4" s="125">
        <f t="shared" ref="F4:W4" si="2">F5+F9+F15+F19+F23+F30+F33</f>
        <v>0</v>
      </c>
      <c r="G4" s="125">
        <f t="shared" si="2"/>
        <v>70100</v>
      </c>
      <c r="H4" s="125">
        <f>H5+H9+H15+H19+H23+H30+H33</f>
        <v>0</v>
      </c>
      <c r="I4" s="125">
        <f t="shared" si="2"/>
        <v>490000</v>
      </c>
      <c r="J4" s="125">
        <f t="shared" si="2"/>
        <v>0</v>
      </c>
      <c r="K4" s="125">
        <f t="shared" si="2"/>
        <v>20000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 t="shared" si="2"/>
        <v>0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205</v>
      </c>
      <c r="D5" s="78">
        <f t="shared" si="1"/>
        <v>7277900</v>
      </c>
      <c r="E5" s="12">
        <f>SUM(E6:E8)</f>
        <v>7207800</v>
      </c>
      <c r="F5" s="12">
        <f t="shared" ref="F5:W5" si="3">SUM(F6:F8)</f>
        <v>0</v>
      </c>
      <c r="G5" s="12">
        <f t="shared" si="3"/>
        <v>70100</v>
      </c>
      <c r="H5" s="12">
        <f>SUM(H6:H8)</f>
        <v>0</v>
      </c>
      <c r="I5" s="12">
        <f t="shared" si="3"/>
        <v>0</v>
      </c>
      <c r="J5" s="12">
        <f t="shared" si="3"/>
        <v>0</v>
      </c>
      <c r="K5" s="12">
        <f t="shared" si="3"/>
        <v>0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 t="shared" si="3"/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234</v>
      </c>
      <c r="D6" s="77">
        <f t="shared" si="1"/>
        <v>6078629</v>
      </c>
      <c r="E6" s="140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6078629</v>
      </c>
      <c r="F6" s="140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40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0</v>
      </c>
      <c r="H6" s="140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40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0</v>
      </c>
      <c r="J6" s="140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40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0</v>
      </c>
      <c r="L6" s="140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40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40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40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40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40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40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40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T6" s="140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U6" s="140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V6" s="140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W6" s="140">
        <f>SUMIFS('Plan rashoda za unos u SAP'!$I$3:$I$501,'Plan rashoda za unos u SAP'!$C$3:$C$501,"=83",'Plan rashoda za unos u SAP'!$M$3:$M$501,"=311")+SUMIFS('ANALITIKA EU PROJEKATA'!$G$3:$G$501,'ANALITIKA EU PROJEKATA'!$A$3:$A$501,"=83",'ANALITIKA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57</v>
      </c>
      <c r="D7" s="14">
        <f t="shared" si="1"/>
        <v>243677</v>
      </c>
      <c r="E7" s="140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173577</v>
      </c>
      <c r="F7" s="140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40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70100</v>
      </c>
      <c r="H7" s="140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40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0</v>
      </c>
      <c r="J7" s="140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40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40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40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40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40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40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40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40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40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T7" s="140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U7" s="140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V7" s="140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W7" s="140">
        <f>SUMIFS('Plan rashoda za unos u SAP'!$I$3:$I$501,'Plan rashoda za unos u SAP'!$C$3:$C$501,"=83",'Plan rashoda za unos u SAP'!$M$3:$M$501,"=312")+SUMIFS('ANALITIKA EU PROJEKATA'!$G$3:$G$501,'ANALITIKA EU PROJEKATA'!$A$3:$A$501,"=83",'ANALITIKA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262</v>
      </c>
      <c r="D8" s="14">
        <f t="shared" si="1"/>
        <v>955594</v>
      </c>
      <c r="E8" s="140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955594</v>
      </c>
      <c r="F8" s="140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40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0</v>
      </c>
      <c r="H8" s="140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40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0</v>
      </c>
      <c r="J8" s="140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40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0</v>
      </c>
      <c r="L8" s="140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40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40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40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40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40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40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40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T8" s="140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U8" s="140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V8" s="140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W8" s="140">
        <f>SUMIFS('Plan rashoda za unos u SAP'!$I$3:$I$501,'Plan rashoda za unos u SAP'!$C$3:$C$501,"=83",'Plan rashoda za unos u SAP'!$M$3:$M$501,"=313")+SUMIFS('ANALITIKA EU PROJEKATA'!$G$3:$G$501,'ANALITIKA EU PROJEKATA'!$A$3:$A$501,"=83",'ANALITIKA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206</v>
      </c>
      <c r="D9" s="4">
        <f t="shared" si="1"/>
        <v>961100</v>
      </c>
      <c r="E9" s="78">
        <f t="shared" ref="E9:W9" si="4">SUM(E10:E14)</f>
        <v>467100</v>
      </c>
      <c r="F9" s="78">
        <f t="shared" si="4"/>
        <v>0</v>
      </c>
      <c r="G9" s="78">
        <f>SUM(G10:G14)</f>
        <v>0</v>
      </c>
      <c r="H9" s="78">
        <f>SUM(H10:H14)</f>
        <v>0</v>
      </c>
      <c r="I9" s="78">
        <f t="shared" si="4"/>
        <v>474000</v>
      </c>
      <c r="J9" s="78">
        <f t="shared" si="4"/>
        <v>0</v>
      </c>
      <c r="K9" s="78">
        <f t="shared" si="4"/>
        <v>20000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 t="shared" si="4"/>
        <v>0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207</v>
      </c>
      <c r="D10" s="14">
        <f t="shared" si="1"/>
        <v>215624</v>
      </c>
      <c r="E10" s="140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214124</v>
      </c>
      <c r="F10" s="140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40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0</v>
      </c>
      <c r="H10" s="140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40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1500</v>
      </c>
      <c r="J10" s="140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0</v>
      </c>
      <c r="K10" s="140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0</v>
      </c>
      <c r="L10" s="140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40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40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40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40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40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40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40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T10" s="140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U10" s="140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V10" s="140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W10" s="140">
        <f>SUMIFS('Plan rashoda za unos u SAP'!$I$3:$I$501,'Plan rashoda za unos u SAP'!$C$3:$C$501,"=83",'Plan rashoda za unos u SAP'!$M$3:$M$501,"=321")+SUMIFS('ANALITIKA EU PROJEKATA'!$G$3:$G$501,'ANALITIKA EU PROJEKATA'!$A$3:$A$501,"=83",'ANALITIKA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208</v>
      </c>
      <c r="D11" s="14">
        <f t="shared" si="1"/>
        <v>169872</v>
      </c>
      <c r="E11" s="140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126872</v>
      </c>
      <c r="F11" s="140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40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0</v>
      </c>
      <c r="H11" s="140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40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43000</v>
      </c>
      <c r="J11" s="140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40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0</v>
      </c>
      <c r="L11" s="140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40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40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40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40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40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40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40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T11" s="140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U11" s="140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V11" s="140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W11" s="140">
        <f>SUMIFS('Plan rashoda za unos u SAP'!$I$3:$I$501,'Plan rashoda za unos u SAP'!$C$3:$C$501,"=83",'Plan rashoda za unos u SAP'!$M$3:$M$501,"=322")+SUMIFS('ANALITIKA EU PROJEKATA'!$G$3:$G$501,'ANALITIKA EU PROJEKATA'!$A$3:$A$501,"=83",'ANALITIKA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209</v>
      </c>
      <c r="D12" s="14">
        <f t="shared" si="1"/>
        <v>528187</v>
      </c>
      <c r="E12" s="140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120337</v>
      </c>
      <c r="F12" s="140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40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0</v>
      </c>
      <c r="H12" s="140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40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387850</v>
      </c>
      <c r="J12" s="140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40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20000</v>
      </c>
      <c r="L12" s="140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40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40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40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40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40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40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40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0</v>
      </c>
      <c r="T12" s="140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U12" s="140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V12" s="140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W12" s="140">
        <f>SUMIFS('Plan rashoda za unos u SAP'!$I$3:$I$501,'Plan rashoda za unos u SAP'!$C$3:$C$501,"=83",'Plan rashoda za unos u SAP'!$M$3:$M$501,"=323")+SUMIFS('ANALITIKA EU PROJEKATA'!$G$3:$G$501,'ANALITIKA EU PROJEKATA'!$A$3:$A$501,"=83",'ANALITIKA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87</v>
      </c>
      <c r="D13" s="14">
        <f t="shared" si="1"/>
        <v>0</v>
      </c>
      <c r="E13" s="140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0</v>
      </c>
      <c r="F13" s="140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40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0</v>
      </c>
      <c r="H13" s="140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40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0</v>
      </c>
      <c r="J13" s="140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40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40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40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40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40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40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40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40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40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T13" s="140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U13" s="140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V13" s="140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W13" s="140">
        <f>SUMIFS('Plan rashoda za unos u SAP'!$I$3:$I$501,'Plan rashoda za unos u SAP'!$C$3:$C$501,"=83",'Plan rashoda za unos u SAP'!$M$3:$M$501,"=324")+SUMIFS('ANALITIKA EU PROJEKATA'!$G$3:$G$501,'ANALITIKA EU PROJEKATA'!$A$3:$A$501,"=83",'ANALITIKA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64</v>
      </c>
      <c r="D14" s="14">
        <f t="shared" si="1"/>
        <v>47417</v>
      </c>
      <c r="E14" s="140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5767</v>
      </c>
      <c r="F14" s="140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40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0</v>
      </c>
      <c r="H14" s="140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40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41650</v>
      </c>
      <c r="J14" s="140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40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40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40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40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40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40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40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40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40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T14" s="140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U14" s="140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V14" s="140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W14" s="140">
        <f>SUMIFS('Plan rashoda za unos u SAP'!$I$3:$I$501,'Plan rashoda za unos u SAP'!$C$3:$C$501,"=83",'Plan rashoda za unos u SAP'!$M$3:$M$501,"=329")+SUMIFS('ANALITIKA EU PROJEKATA'!$G$3:$G$501,'ANALITIKA EU PROJEKATA'!$A$3:$A$501,"=83",'ANALITIKA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210</v>
      </c>
      <c r="D15" s="4">
        <f t="shared" si="1"/>
        <v>4000</v>
      </c>
      <c r="E15" s="4">
        <f t="shared" ref="E15:W15" si="5">SUM(E16:E18)</f>
        <v>0</v>
      </c>
      <c r="F15" s="4">
        <f t="shared" si="5"/>
        <v>0</v>
      </c>
      <c r="G15" s="4">
        <f t="shared" si="5"/>
        <v>0</v>
      </c>
      <c r="H15" s="4">
        <f>SUM(H16:H18)</f>
        <v>0</v>
      </c>
      <c r="I15" s="4">
        <f t="shared" si="5"/>
        <v>4000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 t="shared" si="5"/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326</v>
      </c>
      <c r="D16" s="14">
        <f t="shared" si="1"/>
        <v>0</v>
      </c>
      <c r="E16" s="140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40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40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40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40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40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40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40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40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40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40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40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40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40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40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T16" s="140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U16" s="140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V16" s="140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W16" s="140">
        <f>SUMIFS('Plan rashoda za unos u SAP'!$I$3:$I$501,'Plan rashoda za unos u SAP'!$C$3:$C$501,"=83",'Plan rashoda za unos u SAP'!$M$3:$M$501,"=341")+SUMIFS('ANALITIKA EU PROJEKATA'!$G$3:$G$501,'ANALITIKA EU PROJEKATA'!$A$3:$A$501,"=83",'ANALITIKA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327</v>
      </c>
      <c r="D17" s="14">
        <f t="shared" si="1"/>
        <v>0</v>
      </c>
      <c r="E17" s="140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40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40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40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40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40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40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40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40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40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40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40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40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40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40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T17" s="140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U17" s="140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V17" s="140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W17" s="140">
        <f>SUMIFS('Plan rashoda za unos u SAP'!$I$3:$I$501,'Plan rashoda za unos u SAP'!$C$3:$C$501,"=83",'Plan rashoda za unos u SAP'!$M$3:$M$501,"=342")+SUMIFS('ANALITIKA EU PROJEKATA'!$G$3:$G$501,'ANALITIKA EU PROJEKATA'!$A$3:$A$501,"=83",'ANALITIKA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211</v>
      </c>
      <c r="D18" s="14">
        <f t="shared" si="1"/>
        <v>4000</v>
      </c>
      <c r="E18" s="140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0</v>
      </c>
      <c r="F18" s="140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40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0</v>
      </c>
      <c r="H18" s="140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40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4000</v>
      </c>
      <c r="J18" s="140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40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40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40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40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40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40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40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40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40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T18" s="140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U18" s="140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V18" s="140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W18" s="140">
        <f>SUMIFS('Plan rashoda za unos u SAP'!$I$3:$I$501,'Plan rashoda za unos u SAP'!$C$3:$C$501,"=83",'Plan rashoda za unos u SAP'!$M$3:$M$501,"=343")+SUMIFS('ANALITIKA EU PROJEKATA'!$G$3:$G$501,'ANALITIKA EU PROJEKATA'!$A$3:$A$501,"=83",'ANALITIKA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328</v>
      </c>
      <c r="D19" s="4">
        <f t="shared" si="1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 t="shared" si="6"/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188</v>
      </c>
      <c r="D20" s="14">
        <f t="shared" si="1"/>
        <v>0</v>
      </c>
      <c r="E20" s="140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40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40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40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40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40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40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40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40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40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40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40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40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40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40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T20" s="140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U20" s="140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V20" s="140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W20" s="140">
        <f>SUMIFS('Plan rashoda za unos u SAP'!$I$3:$I$501,'Plan rashoda za unos u SAP'!$C$3:$C$501,"=83",'Plan rashoda za unos u SAP'!$M$3:$M$501,"=351")+SUMIFS('ANALITIKA EU PROJEKATA'!$G$3:$G$501,'ANALITIKA EU PROJEKATA'!$A$3:$A$501,"=83",'ANALITIKA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329</v>
      </c>
      <c r="D21" s="14">
        <f t="shared" si="1"/>
        <v>0</v>
      </c>
      <c r="E21" s="140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40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40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40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40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40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40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40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40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40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40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40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40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40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40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T21" s="140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U21" s="140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V21" s="140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W21" s="140">
        <f>SUMIFS('Plan rashoda za unos u SAP'!$I$3:$I$501,'Plan rashoda za unos u SAP'!$C$3:$C$501,"=83",'Plan rashoda za unos u SAP'!$M$3:$M$501,"=352")+SUMIFS('ANALITIKA EU PROJEKATA'!$G$3:$G$501,'ANALITIKA EU PROJEKATA'!$A$3:$A$501,"=83",'ANALITIKA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330</v>
      </c>
      <c r="D22" s="14">
        <f t="shared" si="1"/>
        <v>0</v>
      </c>
      <c r="E22" s="140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40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40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40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40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40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40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40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40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40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40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40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40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40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40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T22" s="140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U22" s="140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V22" s="140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W22" s="140">
        <f>SUMIFS('Plan rashoda za unos u SAP'!$I$3:$I$501,'Plan rashoda za unos u SAP'!$C$3:$C$501,"=83",'Plan rashoda za unos u SAP'!$M$3:$M$501,"=353")+SUMIFS('ANALITIKA EU PROJEKATA'!$G$3:$G$501,'ANALITIKA EU PROJEKATA'!$A$3:$A$501,"=83",'ANALITIKA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212</v>
      </c>
      <c r="D23" s="4">
        <f t="shared" si="1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 t="shared" si="7"/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331</v>
      </c>
      <c r="D24" s="14">
        <f>SUM(E24:W24)</f>
        <v>0</v>
      </c>
      <c r="E24" s="140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40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40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40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40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40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40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40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40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40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40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40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40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40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40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T24" s="140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U24" s="140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V24" s="140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W24" s="140">
        <f>SUMIFS('Plan rashoda za unos u SAP'!$I$3:$I$501,'Plan rashoda za unos u SAP'!$C$3:$C$501,"=83",'Plan rashoda za unos u SAP'!$M$3:$M$501,"=361")+SUMIFS('ANALITIKA EU PROJEKATA'!$G$3:$G$501,'ANALITIKA EU PROJEKATA'!$A$3:$A$501,"=83",'ANALITIKA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332</v>
      </c>
      <c r="D25" s="14">
        <f t="shared" si="1"/>
        <v>0</v>
      </c>
      <c r="E25" s="140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40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40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40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40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40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40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40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40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40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40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40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40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40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40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T25" s="140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U25" s="140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V25" s="140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W25" s="140">
        <f>SUMIFS('Plan rashoda za unos u SAP'!$I$3:$I$501,'Plan rashoda za unos u SAP'!$C$3:$C$501,"=83",'Plan rashoda za unos u SAP'!$M$3:$M$501,"=362")+SUMIFS('ANALITIKA EU PROJEKATA'!$G$3:$G$501,'ANALITIKA EU PROJEKATA'!$A$3:$A$501,"=83",'ANALITIKA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333</v>
      </c>
      <c r="D26" s="14">
        <f t="shared" si="1"/>
        <v>0</v>
      </c>
      <c r="E26" s="140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40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40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40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40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40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40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40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40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40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40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40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40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40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40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T26" s="140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U26" s="140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V26" s="140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W26" s="140">
        <f>SUMIFS('Plan rashoda za unos u SAP'!$I$3:$I$501,'Plan rashoda za unos u SAP'!$C$3:$C$501,"=83",'Plan rashoda za unos u SAP'!$M$3:$M$501,"=363")+SUMIFS('ANALITIKA EU PROJEKATA'!$G$3:$G$501,'ANALITIKA EU PROJEKATA'!$A$3:$A$501,"=83",'ANALITIKA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334</v>
      </c>
      <c r="D27" s="14">
        <f t="shared" si="1"/>
        <v>0</v>
      </c>
      <c r="E27" s="140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40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40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40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40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40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40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40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40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40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40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40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40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40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40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T27" s="140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U27" s="140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V27" s="140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W27" s="140">
        <f>SUMIFS('Plan rashoda za unos u SAP'!$I$3:$I$501,'Plan rashoda za unos u SAP'!$C$3:$C$501,"=83",'Plan rashoda za unos u SAP'!$M$3:$M$501,"=366")+SUMIFS('ANALITIKA EU PROJEKATA'!$G$3:$G$501,'ANALITIKA EU PROJEKATA'!$A$3:$A$501,"=83",'ANALITIKA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288</v>
      </c>
      <c r="D28" s="14">
        <f t="shared" si="1"/>
        <v>0</v>
      </c>
      <c r="E28" s="140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40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40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40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40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40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40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40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40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40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40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40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40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40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40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T28" s="140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U28" s="140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V28" s="140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W28" s="140">
        <f>SUMIFS('Plan rashoda za unos u SAP'!$I$3:$I$501,'Plan rashoda za unos u SAP'!$C$3:$C$501,"=83",'Plan rashoda za unos u SAP'!$M$3:$M$501,"=368")+SUMIFS('ANALITIKA EU PROJEKATA'!$G$3:$G$501,'ANALITIKA EU PROJEKATA'!$A$3:$A$501,"=83",'ANALITIKA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1"/>
        <v>0</v>
      </c>
      <c r="E29" s="140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40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40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40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40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40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40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40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40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40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40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40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40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40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40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T29" s="140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U29" s="140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V29" s="140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W29" s="140">
        <f>SUMIFS('Plan rashoda za unos u SAP'!$I$3:$I$501,'Plan rashoda za unos u SAP'!$C$3:$C$501,"=83",'Plan rashoda za unos u SAP'!$M$3:$M$501,"=369")+SUMIFS('ANALITIKA EU PROJEKATA'!$G$3:$G$501,'ANALITIKA EU PROJEKATA'!$A$3:$A$501,"=83",'ANALITIKA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335</v>
      </c>
      <c r="D30" s="4">
        <f t="shared" si="1"/>
        <v>12000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12000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 t="shared" si="8"/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336</v>
      </c>
      <c r="D31" s="14">
        <f t="shared" si="1"/>
        <v>0</v>
      </c>
      <c r="E31" s="140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40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40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40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40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40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40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40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40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40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40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40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40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40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40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T31" s="140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U31" s="140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V31" s="140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W31" s="140">
        <f>SUMIFS('Plan rashoda za unos u SAP'!$I$3:$I$501,'Plan rashoda za unos u SAP'!$C$3:$C$501,"=83",'Plan rashoda za unos u SAP'!$M$3:$M$501,"=371")+SUMIFS('ANALITIKA EU PROJEKATA'!$G$3:$G$501,'ANALITIKA EU PROJEKATA'!$A$3:$A$501,"=83",'ANALITIKA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213</v>
      </c>
      <c r="D32" s="14">
        <f t="shared" si="1"/>
        <v>12000</v>
      </c>
      <c r="E32" s="140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40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40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40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40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12000</v>
      </c>
      <c r="J32" s="140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40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40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40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40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40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40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40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40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40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T32" s="140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U32" s="140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V32" s="140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W32" s="140">
        <f>SUMIFS('Plan rashoda za unos u SAP'!$I$3:$I$501,'Plan rashoda za unos u SAP'!$C$3:$C$501,"=83",'Plan rashoda za unos u SAP'!$M$3:$M$501,"=372")+SUMIFS('ANALITIKA EU PROJEKATA'!$G$3:$G$501,'ANALITIKA EU PROJEKATA'!$A$3:$A$501,"=83",'ANALITIKA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214</v>
      </c>
      <c r="D33" s="4">
        <f t="shared" si="1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 t="shared" si="9"/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215</v>
      </c>
      <c r="D34" s="14">
        <f t="shared" si="1"/>
        <v>0</v>
      </c>
      <c r="E34" s="140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40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40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40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40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40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40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40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40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40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40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40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40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40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40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T34" s="140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U34" s="140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V34" s="140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W34" s="140">
        <f>SUMIFS('Plan rashoda za unos u SAP'!$I$3:$I$501,'Plan rashoda za unos u SAP'!$C$3:$C$501,"=83",'Plan rashoda za unos u SAP'!$M$3:$M$501,"=381")+SUMIFS('ANALITIKA EU PROJEKATA'!$G$3:$G$501,'ANALITIKA EU PROJEKATA'!$A$3:$A$501,"=83",'ANALITIKA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337</v>
      </c>
      <c r="D35" s="14">
        <f t="shared" si="1"/>
        <v>0</v>
      </c>
      <c r="E35" s="140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40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40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40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40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40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40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40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40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40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40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40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40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40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40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T35" s="140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U35" s="140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V35" s="140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W35" s="140">
        <f>SUMIFS('Plan rashoda za unos u SAP'!$I$3:$I$501,'Plan rashoda za unos u SAP'!$C$3:$C$501,"=83",'Plan rashoda za unos u SAP'!$M$3:$M$501,"=382")+SUMIFS('ANALITIKA EU PROJEKATA'!$G$3:$G$501,'ANALITIKA EU PROJEKATA'!$A$3:$A$501,"=83",'ANALITIKA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338</v>
      </c>
      <c r="D36" s="14">
        <f t="shared" si="1"/>
        <v>0</v>
      </c>
      <c r="E36" s="140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40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40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40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40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40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40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40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40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40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40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40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40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40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40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T36" s="140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U36" s="140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V36" s="140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W36" s="140">
        <f>SUMIFS('Plan rashoda za unos u SAP'!$I$3:$I$501,'Plan rashoda za unos u SAP'!$C$3:$C$501,"=83",'Plan rashoda za unos u SAP'!$M$3:$M$501,"=383")+SUMIFS('ANALITIKA EU PROJEKATA'!$G$3:$G$501,'ANALITIKA EU PROJEKATA'!$A$3:$A$501,"=83",'ANALITIKA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339</v>
      </c>
      <c r="D37" s="14">
        <f t="shared" si="1"/>
        <v>0</v>
      </c>
      <c r="E37" s="140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40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40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40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40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40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40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40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40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40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40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40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40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40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40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T37" s="140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U37" s="140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V37" s="140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W37" s="140">
        <f>SUMIFS('Plan rashoda za unos u SAP'!$I$3:$I$501,'Plan rashoda za unos u SAP'!$C$3:$C$501,"=83",'Plan rashoda za unos u SAP'!$M$3:$M$501,"=386")+SUMIFS('ANALITIKA EU PROJEKATA'!$G$3:$G$501,'ANALITIKA EU PROJEKATA'!$A$3:$A$501,"=83",'ANALITIKA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216</v>
      </c>
      <c r="D38" s="126">
        <f t="shared" si="1"/>
        <v>60000</v>
      </c>
      <c r="E38" s="126">
        <f>E42+E49+E51+E53+E39</f>
        <v>0</v>
      </c>
      <c r="F38" s="126">
        <f t="shared" ref="F38:W38" si="10">F42+F49+F51+F53+F39</f>
        <v>0</v>
      </c>
      <c r="G38" s="126">
        <f t="shared" si="10"/>
        <v>0</v>
      </c>
      <c r="H38" s="126">
        <f>H42+H49+H51+H53+H39</f>
        <v>0</v>
      </c>
      <c r="I38" s="126">
        <f t="shared" si="10"/>
        <v>60000</v>
      </c>
      <c r="J38" s="126">
        <f t="shared" si="10"/>
        <v>0</v>
      </c>
      <c r="K38" s="126">
        <f t="shared" si="10"/>
        <v>0</v>
      </c>
      <c r="L38" s="126">
        <f>L42+L49+L51+L53+L39</f>
        <v>0</v>
      </c>
      <c r="M38" s="126">
        <f t="shared" si="10"/>
        <v>0</v>
      </c>
      <c r="N38" s="126">
        <f t="shared" si="10"/>
        <v>0</v>
      </c>
      <c r="O38" s="126">
        <f t="shared" si="10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 t="shared" si="10"/>
        <v>0</v>
      </c>
      <c r="T38" s="126">
        <f t="shared" si="10"/>
        <v>0</v>
      </c>
      <c r="U38" s="126">
        <f t="shared" si="10"/>
        <v>0</v>
      </c>
      <c r="V38" s="126">
        <f t="shared" si="10"/>
        <v>0</v>
      </c>
      <c r="W38" s="126">
        <f t="shared" si="10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340</v>
      </c>
      <c r="D39" s="4">
        <f t="shared" si="1"/>
        <v>0</v>
      </c>
      <c r="E39" s="12">
        <f t="shared" ref="E39:W39" si="11">SUM(E40:E41)</f>
        <v>0</v>
      </c>
      <c r="F39" s="12">
        <f t="shared" si="11"/>
        <v>0</v>
      </c>
      <c r="G39" s="12">
        <f t="shared" si="11"/>
        <v>0</v>
      </c>
      <c r="H39" s="12">
        <f>SUM(H40:H41)</f>
        <v>0</v>
      </c>
      <c r="I39" s="12">
        <f t="shared" si="11"/>
        <v>0</v>
      </c>
      <c r="J39" s="12">
        <f t="shared" si="11"/>
        <v>0</v>
      </c>
      <c r="K39" s="12">
        <f t="shared" si="11"/>
        <v>0</v>
      </c>
      <c r="L39" s="12">
        <f>SUM(L40:L41)</f>
        <v>0</v>
      </c>
      <c r="M39" s="12">
        <f t="shared" si="11"/>
        <v>0</v>
      </c>
      <c r="N39" s="12">
        <f t="shared" si="11"/>
        <v>0</v>
      </c>
      <c r="O39" s="12">
        <f t="shared" si="11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 t="shared" si="11"/>
        <v>0</v>
      </c>
      <c r="T39" s="12">
        <f t="shared" si="11"/>
        <v>0</v>
      </c>
      <c r="U39" s="12">
        <f t="shared" si="11"/>
        <v>0</v>
      </c>
      <c r="V39" s="12">
        <f t="shared" si="11"/>
        <v>0</v>
      </c>
      <c r="W39" s="12">
        <f t="shared" si="11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341</v>
      </c>
      <c r="D40" s="14">
        <f t="shared" si="1"/>
        <v>0</v>
      </c>
      <c r="E40" s="140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40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40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40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40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40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40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40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40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40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40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40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40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40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40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T40" s="140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U40" s="140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V40" s="140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W40" s="140">
        <f>SUMIFS('Plan rashoda za unos u SAP'!$I$3:$I$501,'Plan rashoda za unos u SAP'!$C$3:$C$501,"=83",'Plan rashoda za unos u SAP'!$M$3:$M$501,"=411")+SUMIFS('ANALITIKA EU PROJEKATA'!$G$3:$G$501,'ANALITIKA EU PROJEKATA'!$A$3:$A$501,"=83",'ANALITIKA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342</v>
      </c>
      <c r="D41" s="14">
        <f t="shared" si="1"/>
        <v>0</v>
      </c>
      <c r="E41" s="140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40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40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40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40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40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40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40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40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40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40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40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40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40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40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T41" s="140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U41" s="140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V41" s="140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W41" s="140">
        <f>SUMIFS('Plan rashoda za unos u SAP'!$I$3:$I$501,'Plan rashoda za unos u SAP'!$C$3:$C$501,"=83",'Plan rashoda za unos u SAP'!$M$3:$M$501,"=412")+SUMIFS('ANALITIKA EU PROJEKATA'!$G$3:$G$501,'ANALITIKA EU PROJEKATA'!$A$3:$A$501,"=83",'ANALITIKA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261</v>
      </c>
      <c r="D42" s="4">
        <f t="shared" si="1"/>
        <v>60000</v>
      </c>
      <c r="E42" s="4">
        <f t="shared" ref="E42:W42" si="12">SUM(E43:E48)</f>
        <v>0</v>
      </c>
      <c r="F42" s="4">
        <f t="shared" si="12"/>
        <v>0</v>
      </c>
      <c r="G42" s="4">
        <f t="shared" si="12"/>
        <v>0</v>
      </c>
      <c r="H42" s="4">
        <f>SUM(H43:H48)</f>
        <v>0</v>
      </c>
      <c r="I42" s="4">
        <f t="shared" si="12"/>
        <v>60000</v>
      </c>
      <c r="J42" s="4">
        <f t="shared" si="12"/>
        <v>0</v>
      </c>
      <c r="K42" s="4">
        <f t="shared" si="12"/>
        <v>0</v>
      </c>
      <c r="L42" s="4">
        <f>SUM(L43:L48)</f>
        <v>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 t="shared" si="12"/>
        <v>0</v>
      </c>
      <c r="T42" s="4">
        <f t="shared" si="12"/>
        <v>0</v>
      </c>
      <c r="U42" s="4">
        <f t="shared" si="12"/>
        <v>0</v>
      </c>
      <c r="V42" s="4">
        <f t="shared" si="12"/>
        <v>0</v>
      </c>
      <c r="W42" s="4">
        <f t="shared" si="12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217</v>
      </c>
      <c r="D43" s="14">
        <f t="shared" si="1"/>
        <v>0</v>
      </c>
      <c r="E43" s="140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40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40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40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40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40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40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40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40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40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40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40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40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40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40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T43" s="140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U43" s="140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V43" s="140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W43" s="140">
        <f>SUMIFS('Plan rashoda za unos u SAP'!$I$3:$I$501,'Plan rashoda za unos u SAP'!$C$3:$C$501,"=83",'Plan rashoda za unos u SAP'!$M$3:$M$501,"=421")+SUMIFS('ANALITIKA EU PROJEKATA'!$G$3:$G$501,'ANALITIKA EU PROJEKATA'!$A$3:$A$501,"=83",'ANALITIKA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218</v>
      </c>
      <c r="D44" s="14">
        <f t="shared" si="1"/>
        <v>40000</v>
      </c>
      <c r="E44" s="140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0</v>
      </c>
      <c r="F44" s="140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40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0</v>
      </c>
      <c r="H44" s="140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40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40000</v>
      </c>
      <c r="J44" s="140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40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40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40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40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40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40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40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40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40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T44" s="140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U44" s="140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V44" s="140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W44" s="140">
        <f>SUMIFS('Plan rashoda za unos u SAP'!$I$3:$I$501,'Plan rashoda za unos u SAP'!$C$3:$C$501,"=83",'Plan rashoda za unos u SAP'!$M$3:$M$501,"=422")+SUMIFS('ANALITIKA EU PROJEKATA'!$G$3:$G$501,'ANALITIKA EU PROJEKATA'!$A$3:$A$501,"=83",'ANALITIKA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219</v>
      </c>
      <c r="D45" s="14">
        <f t="shared" si="1"/>
        <v>0</v>
      </c>
      <c r="E45" s="140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40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40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40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40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40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40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40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40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40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40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40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40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40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40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T45" s="140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U45" s="140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V45" s="140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W45" s="140">
        <f>SUMIFS('Plan rashoda za unos u SAP'!$I$3:$I$501,'Plan rashoda za unos u SAP'!$C$3:$C$501,"=83",'Plan rashoda za unos u SAP'!$M$3:$M$501,"=423")+SUMIFS('ANALITIKA EU PROJEKATA'!$G$3:$G$501,'ANALITIKA EU PROJEKATA'!$A$3:$A$501,"=83",'ANALITIKA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220</v>
      </c>
      <c r="D46" s="14">
        <f t="shared" si="1"/>
        <v>20000</v>
      </c>
      <c r="E46" s="140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40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40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40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40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20000</v>
      </c>
      <c r="J46" s="140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40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40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40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40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40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40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40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40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40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T46" s="140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U46" s="140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V46" s="140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W46" s="140">
        <f>SUMIFS('Plan rashoda za unos u SAP'!$I$3:$I$501,'Plan rashoda za unos u SAP'!$C$3:$C$501,"=83",'Plan rashoda za unos u SAP'!$M$3:$M$501,"=424")+SUMIFS('ANALITIKA EU PROJEKATA'!$G$3:$G$501,'ANALITIKA EU PROJEKATA'!$A$3:$A$501,"=83",'ANALITIKA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343</v>
      </c>
      <c r="D47" s="14">
        <f t="shared" si="1"/>
        <v>0</v>
      </c>
      <c r="E47" s="140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40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40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40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40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40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40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40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40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40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40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40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40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40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40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T47" s="140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U47" s="140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V47" s="140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W47" s="140">
        <f>SUMIFS('Plan rashoda za unos u SAP'!$I$3:$I$501,'Plan rashoda za unos u SAP'!$C$3:$C$501,"=83",'Plan rashoda za unos u SAP'!$M$3:$M$501,"=425")+SUMIFS('ANALITIKA EU PROJEKATA'!$G$3:$G$501,'ANALITIKA EU PROJEKATA'!$A$3:$A$501,"=83",'ANALITIKA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221</v>
      </c>
      <c r="D48" s="14">
        <f t="shared" si="1"/>
        <v>0</v>
      </c>
      <c r="E48" s="140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40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40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40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40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40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40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40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40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40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40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40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40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40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40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T48" s="140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U48" s="140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V48" s="140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W48" s="140">
        <f>SUMIFS('Plan rashoda za unos u SAP'!$I$3:$I$501,'Plan rashoda za unos u SAP'!$C$3:$C$501,"=83",'Plan rashoda za unos u SAP'!$M$3:$M$501,"=426")+SUMIFS('ANALITIKA EU PROJEKATA'!$G$3:$G$501,'ANALITIKA EU PROJEKATA'!$A$3:$A$501,"=83",'ANALITIKA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344</v>
      </c>
      <c r="D49" s="4">
        <f t="shared" si="1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V49" si="13">SUM(I50)</f>
        <v>0</v>
      </c>
      <c r="J49" s="12">
        <f t="shared" si="13"/>
        <v>0</v>
      </c>
      <c r="K49" s="12">
        <f t="shared" si="13"/>
        <v>0</v>
      </c>
      <c r="L49" s="12">
        <f>SUM(L50)</f>
        <v>0</v>
      </c>
      <c r="M49" s="12">
        <f t="shared" si="13"/>
        <v>0</v>
      </c>
      <c r="N49" s="12">
        <f t="shared" si="13"/>
        <v>0</v>
      </c>
      <c r="O49" s="12">
        <f t="shared" si="13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 t="shared" si="13"/>
        <v>0</v>
      </c>
      <c r="T49" s="12">
        <f t="shared" si="13"/>
        <v>0</v>
      </c>
      <c r="U49" s="12">
        <f t="shared" si="13"/>
        <v>0</v>
      </c>
      <c r="V49" s="12">
        <f t="shared" si="13"/>
        <v>0</v>
      </c>
      <c r="W49" s="12">
        <f>SUM(W50)</f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345</v>
      </c>
      <c r="D50" s="14">
        <f t="shared" si="1"/>
        <v>0</v>
      </c>
      <c r="E50" s="140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40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40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40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40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40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40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40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40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40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40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40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40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40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40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T50" s="140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U50" s="140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V50" s="140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W50" s="140">
        <f>SUMIFS('Plan rashoda za unos u SAP'!$I$3:$I$501,'Plan rashoda za unos u SAP'!$C$3:$C$501,"=83",'Plan rashoda za unos u SAP'!$M$3:$M$501,"=431")+SUMIFS('ANALITIKA EU PROJEKATA'!$G$3:$G$501,'ANALITIKA EU PROJEKATA'!$A$3:$A$501,"=83",'ANALITIKA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345</v>
      </c>
      <c r="D51" s="4">
        <f t="shared" si="1"/>
        <v>0</v>
      </c>
      <c r="E51" s="12">
        <f t="shared" ref="E51:W51" si="14">SUM(E52)</f>
        <v>0</v>
      </c>
      <c r="F51" s="12">
        <f t="shared" si="14"/>
        <v>0</v>
      </c>
      <c r="G51" s="12">
        <f t="shared" si="14"/>
        <v>0</v>
      </c>
      <c r="H51" s="12">
        <f t="shared" si="14"/>
        <v>0</v>
      </c>
      <c r="I51" s="12">
        <f t="shared" si="14"/>
        <v>0</v>
      </c>
      <c r="J51" s="12">
        <f t="shared" si="14"/>
        <v>0</v>
      </c>
      <c r="K51" s="12">
        <f t="shared" si="14"/>
        <v>0</v>
      </c>
      <c r="L51" s="12">
        <f t="shared" si="14"/>
        <v>0</v>
      </c>
      <c r="M51" s="12">
        <f t="shared" si="14"/>
        <v>0</v>
      </c>
      <c r="N51" s="12">
        <f t="shared" si="14"/>
        <v>0</v>
      </c>
      <c r="O51" s="12">
        <f t="shared" si="14"/>
        <v>0</v>
      </c>
      <c r="P51" s="12">
        <f t="shared" si="14"/>
        <v>0</v>
      </c>
      <c r="Q51" s="12">
        <f t="shared" si="14"/>
        <v>0</v>
      </c>
      <c r="R51" s="12">
        <f t="shared" si="14"/>
        <v>0</v>
      </c>
      <c r="S51" s="12">
        <f t="shared" si="14"/>
        <v>0</v>
      </c>
      <c r="T51" s="12">
        <f t="shared" si="14"/>
        <v>0</v>
      </c>
      <c r="U51" s="12">
        <f t="shared" si="14"/>
        <v>0</v>
      </c>
      <c r="V51" s="12">
        <f t="shared" si="14"/>
        <v>0</v>
      </c>
      <c r="W51" s="12">
        <f t="shared" si="14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346</v>
      </c>
      <c r="D52" s="14">
        <f t="shared" si="1"/>
        <v>0</v>
      </c>
      <c r="E52" s="140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40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40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40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40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40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40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40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40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40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40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40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40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40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40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T52" s="140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U52" s="140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V52" s="140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W52" s="140">
        <f>SUMIFS('Plan rashoda za unos u SAP'!$I$3:$I$501,'Plan rashoda za unos u SAP'!$C$3:$C$501,"=83",'Plan rashoda za unos u SAP'!$M$3:$M$501,"=441")+SUMIFS('ANALITIKA EU PROJEKATA'!$G$3:$G$501,'ANALITIKA EU PROJEKATA'!$A$3:$A$501,"=83",'ANALITIKA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222</v>
      </c>
      <c r="D53" s="4">
        <f t="shared" si="1"/>
        <v>0</v>
      </c>
      <c r="E53" s="4">
        <f t="shared" ref="E53:W53" si="15">SUM(E54:E57)</f>
        <v>0</v>
      </c>
      <c r="F53" s="4">
        <f t="shared" si="15"/>
        <v>0</v>
      </c>
      <c r="G53" s="4">
        <f t="shared" si="15"/>
        <v>0</v>
      </c>
      <c r="H53" s="4">
        <f>SUM(H54:H57)</f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>SUM(L54:L57)</f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 t="shared" si="15"/>
        <v>0</v>
      </c>
      <c r="T53" s="4">
        <f t="shared" si="15"/>
        <v>0</v>
      </c>
      <c r="U53" s="4">
        <f t="shared" si="15"/>
        <v>0</v>
      </c>
      <c r="V53" s="4">
        <f t="shared" si="15"/>
        <v>0</v>
      </c>
      <c r="W53" s="4">
        <f t="shared" si="15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128</v>
      </c>
      <c r="D54" s="14">
        <f t="shared" si="1"/>
        <v>0</v>
      </c>
      <c r="E54" s="140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40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40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40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40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40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40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40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40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40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40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40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40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40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40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T54" s="140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U54" s="140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V54" s="140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W54" s="140">
        <f>SUMIFS('Plan rashoda za unos u SAP'!$I$3:$I$501,'Plan rashoda za unos u SAP'!$C$3:$C$501,"=83",'Plan rashoda za unos u SAP'!$M$3:$M$501,"=451")+SUMIFS('ANALITIKA EU PROJEKATA'!$G$3:$G$501,'ANALITIKA EU PROJEKATA'!$A$3:$A$501,"=83",'ANALITIKA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147</v>
      </c>
      <c r="D55" s="14">
        <f t="shared" si="1"/>
        <v>0</v>
      </c>
      <c r="E55" s="140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40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40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40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40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40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40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40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40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40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40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40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40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40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40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T55" s="140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U55" s="140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V55" s="140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W55" s="140">
        <f>SUMIFS('Plan rashoda za unos u SAP'!$I$3:$I$501,'Plan rashoda za unos u SAP'!$C$3:$C$501,"=83",'Plan rashoda za unos u SAP'!$M$3:$M$501,"=452")+SUMIFS('ANALITIKA EU PROJEKATA'!$G$3:$G$501,'ANALITIKA EU PROJEKATA'!$A$3:$A$501,"=83",'ANALITIKA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190</v>
      </c>
      <c r="D56" s="14">
        <f t="shared" si="1"/>
        <v>0</v>
      </c>
      <c r="E56" s="140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40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40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40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40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40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40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40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40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40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40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40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40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40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40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T56" s="140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U56" s="140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V56" s="140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W56" s="140">
        <f>SUMIFS('Plan rashoda za unos u SAP'!$I$3:$I$501,'Plan rashoda za unos u SAP'!$C$3:$C$501,"=83",'Plan rashoda za unos u SAP'!$M$3:$M$501,"=453")+SUMIFS('ANALITIKA EU PROJEKATA'!$G$3:$G$501,'ANALITIKA EU PROJEKATA'!$A$3:$A$501,"=83",'ANALITIKA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142</v>
      </c>
      <c r="D57" s="14">
        <f t="shared" si="1"/>
        <v>0</v>
      </c>
      <c r="E57" s="140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40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40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40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40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40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40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40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40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40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40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40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40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40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40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T57" s="140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U57" s="140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V57" s="140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W57" s="140">
        <f>SUMIFS('Plan rashoda za unos u SAP'!$I$3:$I$501,'Plan rashoda za unos u SAP'!$C$3:$C$501,"=83",'Plan rashoda za unos u SAP'!$M$3:$M$501,"=454")+SUMIFS('ANALITIKA EU PROJEKATA'!$G$3:$G$501,'ANALITIKA EU PROJEKATA'!$A$3:$A$501,"=83",'ANALITIKA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"/>
        <v>0</v>
      </c>
      <c r="E58" s="125">
        <f t="shared" ref="E58:W58" si="16">+E59+E63</f>
        <v>0</v>
      </c>
      <c r="F58" s="125">
        <f t="shared" si="16"/>
        <v>0</v>
      </c>
      <c r="G58" s="125">
        <f t="shared" si="16"/>
        <v>0</v>
      </c>
      <c r="H58" s="125">
        <f>+H59+H63</f>
        <v>0</v>
      </c>
      <c r="I58" s="125">
        <f t="shared" si="16"/>
        <v>0</v>
      </c>
      <c r="J58" s="125">
        <f t="shared" si="16"/>
        <v>0</v>
      </c>
      <c r="K58" s="125">
        <f t="shared" si="16"/>
        <v>0</v>
      </c>
      <c r="L58" s="125">
        <f>+L59+L63</f>
        <v>0</v>
      </c>
      <c r="M58" s="125">
        <f t="shared" si="16"/>
        <v>0</v>
      </c>
      <c r="N58" s="125">
        <f t="shared" si="16"/>
        <v>0</v>
      </c>
      <c r="O58" s="125">
        <f t="shared" si="16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 t="shared" si="16"/>
        <v>0</v>
      </c>
      <c r="T58" s="125">
        <f t="shared" si="16"/>
        <v>0</v>
      </c>
      <c r="U58" s="125">
        <f t="shared" si="16"/>
        <v>0</v>
      </c>
      <c r="V58" s="125">
        <f t="shared" si="16"/>
        <v>0</v>
      </c>
      <c r="W58" s="125">
        <f t="shared" si="16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357</v>
      </c>
      <c r="D59" s="78">
        <f t="shared" si="1"/>
        <v>0</v>
      </c>
      <c r="E59" s="12">
        <f t="shared" ref="E59:W59" si="17">SUM(E60:E62)</f>
        <v>0</v>
      </c>
      <c r="F59" s="12">
        <f t="shared" si="17"/>
        <v>0</v>
      </c>
      <c r="G59" s="12">
        <f t="shared" si="17"/>
        <v>0</v>
      </c>
      <c r="H59" s="12">
        <f t="shared" si="17"/>
        <v>0</v>
      </c>
      <c r="I59" s="12">
        <f t="shared" si="17"/>
        <v>0</v>
      </c>
      <c r="J59" s="12">
        <f t="shared" si="17"/>
        <v>0</v>
      </c>
      <c r="K59" s="12">
        <f t="shared" si="17"/>
        <v>0</v>
      </c>
      <c r="L59" s="12">
        <f t="shared" si="17"/>
        <v>0</v>
      </c>
      <c r="M59" s="12">
        <f t="shared" si="17"/>
        <v>0</v>
      </c>
      <c r="N59" s="12">
        <f t="shared" si="17"/>
        <v>0</v>
      </c>
      <c r="O59" s="12">
        <f t="shared" si="17"/>
        <v>0</v>
      </c>
      <c r="P59" s="12">
        <f t="shared" si="17"/>
        <v>0</v>
      </c>
      <c r="Q59" s="12">
        <f t="shared" si="17"/>
        <v>0</v>
      </c>
      <c r="R59" s="12">
        <f t="shared" ref="R59" si="18">SUM(R60:R62)</f>
        <v>0</v>
      </c>
      <c r="S59" s="12">
        <f t="shared" si="17"/>
        <v>0</v>
      </c>
      <c r="T59" s="12">
        <f t="shared" si="17"/>
        <v>0</v>
      </c>
      <c r="U59" s="12">
        <f t="shared" si="17"/>
        <v>0</v>
      </c>
      <c r="V59" s="12">
        <f t="shared" si="17"/>
        <v>0</v>
      </c>
      <c r="W59" s="12">
        <f t="shared" si="17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7">
        <v>512</v>
      </c>
      <c r="C60" s="81" t="s">
        <v>362</v>
      </c>
      <c r="D60" s="78">
        <f t="shared" si="1"/>
        <v>0</v>
      </c>
      <c r="E60" s="140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40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40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40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40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40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40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40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40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40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40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40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40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40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40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T60" s="140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U60" s="140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V60" s="140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W60" s="140">
        <f>SUMIFS('Plan rashoda za unos u SAP'!$I$3:$I$501,'Plan rashoda za unos u SAP'!$C$3:$C$501,"=83",'Plan rashoda za unos u SAP'!$M$3:$M$501,"=512")+SUMIFS('ANALITIKA EU PROJEKATA'!$G$3:$G$501,'ANALITIKA EU PROJEKATA'!$A$3:$A$501,"=83",'ANALITIKA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7">
        <v>514</v>
      </c>
      <c r="C61" s="81" t="s">
        <v>363</v>
      </c>
      <c r="D61" s="78">
        <f t="shared" si="1"/>
        <v>0</v>
      </c>
      <c r="E61" s="140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40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40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40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40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40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40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40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40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40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40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40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40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40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40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T61" s="140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U61" s="140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V61" s="140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W61" s="140">
        <f>SUMIFS('Plan rashoda za unos u SAP'!$I$3:$I$501,'Plan rashoda za unos u SAP'!$C$3:$C$501,"=83",'Plan rashoda za unos u SAP'!$M$3:$M$501,"=514")+SUMIFS('ANALITIKA EU PROJEKATA'!$G$3:$G$501,'ANALITIKA EU PROJEKATA'!$A$3:$A$501,"=83",'ANALITIKA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7">
        <v>518</v>
      </c>
      <c r="C62" s="81" t="s">
        <v>364</v>
      </c>
      <c r="D62" s="78">
        <f t="shared" si="1"/>
        <v>0</v>
      </c>
      <c r="E62" s="140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40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40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40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40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40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40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40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40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40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40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40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40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40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40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T62" s="140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U62" s="140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V62" s="140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W62" s="140">
        <f>SUMIFS('Plan rashoda za unos u SAP'!$I$3:$I$501,'Plan rashoda za unos u SAP'!$C$3:$C$501,"=83",'Plan rashoda za unos u SAP'!$M$3:$M$501,"=518")+SUMIFS('ANALITIKA EU PROJEKATA'!$G$3:$G$501,'ANALITIKA EU PROJEKATA'!$A$3:$A$501,"=83",'ANALITIKA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358</v>
      </c>
      <c r="D63" s="78">
        <f t="shared" si="1"/>
        <v>0</v>
      </c>
      <c r="E63" s="12">
        <f>SUM(E64:E68)</f>
        <v>0</v>
      </c>
      <c r="F63" s="12">
        <f t="shared" ref="F63:W63" si="19">SUM(F64:F68)</f>
        <v>0</v>
      </c>
      <c r="G63" s="12">
        <f t="shared" si="19"/>
        <v>0</v>
      </c>
      <c r="H63" s="12">
        <f>SUM(H64:H68)</f>
        <v>0</v>
      </c>
      <c r="I63" s="12">
        <f t="shared" si="19"/>
        <v>0</v>
      </c>
      <c r="J63" s="12">
        <f>SUM(J64:J68)</f>
        <v>0</v>
      </c>
      <c r="K63" s="12">
        <f t="shared" si="19"/>
        <v>0</v>
      </c>
      <c r="L63" s="12">
        <f>SUM(L64:L68)</f>
        <v>0</v>
      </c>
      <c r="M63" s="12">
        <f t="shared" si="19"/>
        <v>0</v>
      </c>
      <c r="N63" s="12">
        <f t="shared" si="19"/>
        <v>0</v>
      </c>
      <c r="O63" s="12">
        <f t="shared" si="19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 t="shared" si="19"/>
        <v>0</v>
      </c>
      <c r="T63" s="12">
        <f t="shared" si="19"/>
        <v>0</v>
      </c>
      <c r="U63" s="12">
        <f t="shared" si="19"/>
        <v>0</v>
      </c>
      <c r="V63" s="12">
        <f t="shared" si="19"/>
        <v>0</v>
      </c>
      <c r="W63" s="12">
        <f t="shared" si="19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365</v>
      </c>
      <c r="D64" s="78">
        <f t="shared" si="1"/>
        <v>0</v>
      </c>
      <c r="E64" s="140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40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40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40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40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40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40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40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40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40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40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40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40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40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40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T64" s="140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U64" s="140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V64" s="140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W64" s="140">
        <f>SUMIFS('Plan rashoda za unos u SAP'!$I$3:$I$501,'Plan rashoda za unos u SAP'!$C$3:$C$501,"=83",'Plan rashoda za unos u SAP'!$M$3:$M$501,"=542")+SUMIFS('ANALITIKA EU PROJEKATA'!$G$3:$G$501,'ANALITIKA EU PROJEKATA'!$A$3:$A$501,"=83",'ANALITIKA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366</v>
      </c>
      <c r="D65" s="78">
        <f t="shared" si="1"/>
        <v>0</v>
      </c>
      <c r="E65" s="140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40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40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40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40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40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40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40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40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40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40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40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40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40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40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T65" s="140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U65" s="140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V65" s="140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W65" s="140">
        <f>SUMIFS('Plan rashoda za unos u SAP'!$I$3:$I$501,'Plan rashoda za unos u SAP'!$C$3:$C$501,"=83",'Plan rashoda za unos u SAP'!$M$3:$M$501,"=543")+SUMIFS('ANALITIKA EU PROJEKATA'!$G$3:$G$501,'ANALITIKA EU PROJEKATA'!$A$3:$A$501,"=83",'ANALITIKA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367</v>
      </c>
      <c r="D66" s="78">
        <f t="shared" si="1"/>
        <v>0</v>
      </c>
      <c r="E66" s="140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40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40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40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40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40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40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40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40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40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40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40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40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40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40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T66" s="140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U66" s="140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V66" s="140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W66" s="140">
        <f>SUMIFS('Plan rashoda za unos u SAP'!$I$3:$I$501,'Plan rashoda za unos u SAP'!$C$3:$C$501,"=83",'Plan rashoda za unos u SAP'!$M$3:$M$501,"=544")+SUMIFS('ANALITIKA EU PROJEKATA'!$G$3:$G$501,'ANALITIKA EU PROJEKATA'!$A$3:$A$501,"=83",'ANALITIKA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368</v>
      </c>
      <c r="D67" s="78">
        <f t="shared" si="1"/>
        <v>0</v>
      </c>
      <c r="E67" s="140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40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40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40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40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40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40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40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40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40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40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40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40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40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40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T67" s="140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U67" s="140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V67" s="140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W67" s="140">
        <f>SUMIFS('Plan rashoda za unos u SAP'!$I$3:$I$501,'Plan rashoda za unos u SAP'!$C$3:$C$501,"=83",'Plan rashoda za unos u SAP'!$M$3:$M$501,"=545")+SUMIFS('ANALITIKA EU PROJEKATA'!$G$3:$G$501,'ANALITIKA EU PROJEKATA'!$A$3:$A$501,"=83",'ANALITIKA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369</v>
      </c>
      <c r="D68" s="78">
        <f>SUM(E68:W68)</f>
        <v>0</v>
      </c>
      <c r="E68" s="140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40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40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40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40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40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40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40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40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40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40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40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40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40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40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T68" s="140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U68" s="140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V68" s="140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W68" s="140">
        <f>SUMIFS('Plan rashoda za unos u SAP'!$I$3:$I$501,'Plan rashoda za unos u SAP'!$C$3:$C$501,"=83",'Plan rashoda za unos u SAP'!$M$3:$M$501,"=547")+SUMIFS('ANALITIKA EU PROJEKATA'!$G$3:$G$501,'ANALITIKA EU PROJEKATA'!$A$3:$A$501,"=83",'ANALITIKA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2139</v>
      </c>
      <c r="B70" s="93" t="s">
        <v>202</v>
      </c>
      <c r="C70" s="93" t="s">
        <v>203</v>
      </c>
      <c r="D70" s="2" t="s">
        <v>355</v>
      </c>
      <c r="E70" s="2" t="s">
        <v>40</v>
      </c>
      <c r="F70" s="2" t="s">
        <v>325</v>
      </c>
      <c r="G70" s="93" t="s">
        <v>19</v>
      </c>
      <c r="H70" s="93" t="s">
        <v>1560</v>
      </c>
      <c r="I70" s="93" t="s">
        <v>20</v>
      </c>
      <c r="J70" s="93" t="s">
        <v>273</v>
      </c>
      <c r="K70" s="93" t="s">
        <v>274</v>
      </c>
      <c r="L70" s="93" t="s">
        <v>1561</v>
      </c>
      <c r="M70" s="93" t="s">
        <v>275</v>
      </c>
      <c r="N70" s="93" t="s">
        <v>276</v>
      </c>
      <c r="O70" s="93" t="s">
        <v>277</v>
      </c>
      <c r="P70" s="93" t="s">
        <v>1562</v>
      </c>
      <c r="Q70" s="93" t="s">
        <v>1563</v>
      </c>
      <c r="R70" s="93" t="s">
        <v>2133</v>
      </c>
      <c r="S70" s="93" t="s">
        <v>278</v>
      </c>
      <c r="T70" s="93" t="s">
        <v>279</v>
      </c>
      <c r="U70" s="93" t="s">
        <v>1534</v>
      </c>
      <c r="V70" s="93" t="s">
        <v>1533</v>
      </c>
      <c r="W70" s="93" t="s">
        <v>1535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359</v>
      </c>
      <c r="D71" s="120">
        <f>SUM(E71:W71)</f>
        <v>8429977</v>
      </c>
      <c r="E71" s="121">
        <f t="shared" ref="E71:V71" si="20">+E72+E80+E86</f>
        <v>7940627</v>
      </c>
      <c r="F71" s="121">
        <f t="shared" si="20"/>
        <v>0</v>
      </c>
      <c r="G71" s="121">
        <f t="shared" si="20"/>
        <v>77100</v>
      </c>
      <c r="H71" s="121">
        <f>+H72+H80+H86</f>
        <v>0</v>
      </c>
      <c r="I71" s="121">
        <f t="shared" si="20"/>
        <v>392250</v>
      </c>
      <c r="J71" s="121">
        <f t="shared" si="20"/>
        <v>0</v>
      </c>
      <c r="K71" s="121">
        <f t="shared" si="20"/>
        <v>20000</v>
      </c>
      <c r="L71" s="121">
        <f>+L72+L80+L86</f>
        <v>0</v>
      </c>
      <c r="M71" s="121">
        <f t="shared" si="20"/>
        <v>0</v>
      </c>
      <c r="N71" s="121">
        <f t="shared" si="20"/>
        <v>0</v>
      </c>
      <c r="O71" s="121">
        <f t="shared" si="20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 t="shared" si="20"/>
        <v>0</v>
      </c>
      <c r="T71" s="121">
        <f t="shared" si="20"/>
        <v>0</v>
      </c>
      <c r="U71" s="121">
        <f t="shared" si="20"/>
        <v>0</v>
      </c>
      <c r="V71" s="121">
        <f t="shared" si="20"/>
        <v>0</v>
      </c>
      <c r="W71" s="121">
        <f>+W72+W80+W86</f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204</v>
      </c>
      <c r="D72" s="124">
        <f t="shared" ref="D72:D88" si="21">SUM(E72:W72)</f>
        <v>8369977</v>
      </c>
      <c r="E72" s="130">
        <f t="shared" ref="E72:V72" si="22">SUM(E73:E79)</f>
        <v>7940627</v>
      </c>
      <c r="F72" s="130">
        <f t="shared" si="22"/>
        <v>0</v>
      </c>
      <c r="G72" s="130">
        <f t="shared" si="22"/>
        <v>77100</v>
      </c>
      <c r="H72" s="130">
        <f>SUM(H73:H79)</f>
        <v>0</v>
      </c>
      <c r="I72" s="130">
        <f t="shared" si="22"/>
        <v>332250</v>
      </c>
      <c r="J72" s="130">
        <f t="shared" si="22"/>
        <v>0</v>
      </c>
      <c r="K72" s="130">
        <f t="shared" si="22"/>
        <v>20000</v>
      </c>
      <c r="L72" s="130">
        <f>SUM(L73:L79)</f>
        <v>0</v>
      </c>
      <c r="M72" s="130">
        <f t="shared" si="22"/>
        <v>0</v>
      </c>
      <c r="N72" s="130">
        <f t="shared" si="22"/>
        <v>0</v>
      </c>
      <c r="O72" s="130">
        <f t="shared" si="22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 t="shared" si="22"/>
        <v>0</v>
      </c>
      <c r="T72" s="130">
        <f t="shared" si="22"/>
        <v>0</v>
      </c>
      <c r="U72" s="130">
        <f t="shared" si="22"/>
        <v>0</v>
      </c>
      <c r="V72" s="130">
        <f t="shared" si="22"/>
        <v>0</v>
      </c>
      <c r="W72" s="130">
        <f>SUM(W73:W79)</f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205</v>
      </c>
      <c r="D73" s="132">
        <f t="shared" si="21"/>
        <v>7515549</v>
      </c>
      <c r="E73" s="140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7438449</v>
      </c>
      <c r="F73" s="140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40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77100</v>
      </c>
      <c r="H73" s="140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40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0</v>
      </c>
      <c r="J73" s="140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40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0</v>
      </c>
      <c r="L73" s="140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40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40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40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40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40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40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40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T73" s="140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U73" s="140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V73" s="140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W73" s="140">
        <f>SUMIFS('Plan rashoda za unos u SAP'!$J$3:$J$501,'Plan rashoda za unos u SAP'!$C$3:$C$501,"=83",'Plan rashoda za unos u SAP'!$N$3:$N$501,"=31")+SUMIFS('ANALITIKA EU PROJEKATA'!$H$3:$H$501,'ANALITIKA EU PROJEKATA'!$A$3:$A$501,"=83",'ANALITIKA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206</v>
      </c>
      <c r="D74" s="133">
        <f t="shared" si="21"/>
        <v>838428</v>
      </c>
      <c r="E74" s="140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502178</v>
      </c>
      <c r="F74" s="140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40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0</v>
      </c>
      <c r="H74" s="140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40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316250</v>
      </c>
      <c r="J74" s="140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40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20000</v>
      </c>
      <c r="L74" s="140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40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40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40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40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40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40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40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0</v>
      </c>
      <c r="T74" s="140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U74" s="140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V74" s="140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W74" s="140">
        <f>SUMIFS('Plan rashoda za unos u SAP'!$J$3:$J$501,'Plan rashoda za unos u SAP'!$C$3:$C$501,"=83",'Plan rashoda za unos u SAP'!$N$3:$N$501,"=32")+SUMIFS('ANALITIKA EU PROJEKATA'!$H$3:$H$501,'ANALITIKA EU PROJEKATA'!$A$3:$A$501,"=83",'ANALITIKA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210</v>
      </c>
      <c r="D75" s="133">
        <f t="shared" si="21"/>
        <v>4000</v>
      </c>
      <c r="E75" s="140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0</v>
      </c>
      <c r="F75" s="140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40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0</v>
      </c>
      <c r="H75" s="140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40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4000</v>
      </c>
      <c r="J75" s="140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40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40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40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40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40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40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40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40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40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T75" s="140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U75" s="140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V75" s="140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W75" s="140">
        <f>SUMIFS('Plan rashoda za unos u SAP'!$J$3:$J$501,'Plan rashoda za unos u SAP'!$C$3:$C$501,"=83",'Plan rashoda za unos u SAP'!$N$3:$N$501,"=34")+SUMIFS('ANALITIKA EU PROJEKATA'!$H$3:$H$501,'ANALITIKA EU PROJEKATA'!$A$3:$A$501,"=83",'ANALITIKA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328</v>
      </c>
      <c r="D76" s="133">
        <f t="shared" si="21"/>
        <v>0</v>
      </c>
      <c r="E76" s="140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40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40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40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40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40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40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40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40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40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40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40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40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40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40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T76" s="140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U76" s="140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V76" s="140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W76" s="140">
        <f>SUMIFS('Plan rashoda za unos u SAP'!$J$3:$J$501,'Plan rashoda za unos u SAP'!$C$3:$C$501,"=83",'Plan rashoda za unos u SAP'!$N$3:$N$501,"=35")+SUMIFS('ANALITIKA EU PROJEKATA'!$H$3:$H$501,'ANALITIKA EU PROJEKATA'!$A$3:$A$501,"=83",'ANALITIKA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212</v>
      </c>
      <c r="D77" s="133">
        <f t="shared" si="21"/>
        <v>0</v>
      </c>
      <c r="E77" s="140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40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40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40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40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40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40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40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40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40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40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40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40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40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40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T77" s="140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U77" s="140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V77" s="140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W77" s="140">
        <f>SUMIFS('Plan rashoda za unos u SAP'!$J$3:$J$501,'Plan rashoda za unos u SAP'!$C$3:$C$501,"=83",'Plan rashoda za unos u SAP'!$N$3:$N$501,"=36")+SUMIFS('ANALITIKA EU PROJEKATA'!$H$3:$H$501,'ANALITIKA EU PROJEKATA'!$A$3:$A$501,"=83",'ANALITIKA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335</v>
      </c>
      <c r="D78" s="133">
        <f t="shared" si="21"/>
        <v>12000</v>
      </c>
      <c r="E78" s="140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40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40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40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40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12000</v>
      </c>
      <c r="J78" s="140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40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40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40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40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40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40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40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40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40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T78" s="140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U78" s="140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V78" s="140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W78" s="140">
        <f>SUMIFS('Plan rashoda za unos u SAP'!$J$3:$J$501,'Plan rashoda za unos u SAP'!$C$3:$C$501,"=83",'Plan rashoda za unos u SAP'!$N$3:$N$501,"=37")+SUMIFS('ANALITIKA EU PROJEKATA'!$H$3:$H$501,'ANALITIKA EU PROJEKATA'!$A$3:$A$501,"=83",'ANALITIKA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214</v>
      </c>
      <c r="D79" s="133">
        <f t="shared" si="21"/>
        <v>0</v>
      </c>
      <c r="E79" s="140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40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40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40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40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40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40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40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40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40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40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40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40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40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40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T79" s="140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U79" s="140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V79" s="140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W79" s="140">
        <f>SUMIFS('Plan rashoda za unos u SAP'!$J$3:$J$501,'Plan rashoda za unos u SAP'!$C$3:$C$501,"=83",'Plan rashoda za unos u SAP'!$N$3:$N$501,"=38")+SUMIFS('ANALITIKA EU PROJEKATA'!$H$3:$H$501,'ANALITIKA EU PROJEKATA'!$A$3:$A$501,"=83",'ANALITIKA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216</v>
      </c>
      <c r="D80" s="126">
        <f t="shared" si="21"/>
        <v>60000</v>
      </c>
      <c r="E80" s="131">
        <f t="shared" ref="E80:V80" si="23">SUM(E81:E85)</f>
        <v>0</v>
      </c>
      <c r="F80" s="131">
        <f t="shared" si="23"/>
        <v>0</v>
      </c>
      <c r="G80" s="131">
        <f t="shared" si="23"/>
        <v>0</v>
      </c>
      <c r="H80" s="131">
        <f>SUM(H81:H85)</f>
        <v>0</v>
      </c>
      <c r="I80" s="131">
        <f t="shared" si="23"/>
        <v>60000</v>
      </c>
      <c r="J80" s="131">
        <f t="shared" si="23"/>
        <v>0</v>
      </c>
      <c r="K80" s="131">
        <f t="shared" si="23"/>
        <v>0</v>
      </c>
      <c r="L80" s="131">
        <f>SUM(L81:L85)</f>
        <v>0</v>
      </c>
      <c r="M80" s="131">
        <f t="shared" si="23"/>
        <v>0</v>
      </c>
      <c r="N80" s="131">
        <f t="shared" si="23"/>
        <v>0</v>
      </c>
      <c r="O80" s="131">
        <f t="shared" si="23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 t="shared" si="23"/>
        <v>0</v>
      </c>
      <c r="T80" s="131">
        <f t="shared" si="23"/>
        <v>0</v>
      </c>
      <c r="U80" s="131">
        <f t="shared" si="23"/>
        <v>0</v>
      </c>
      <c r="V80" s="131">
        <f t="shared" si="23"/>
        <v>0</v>
      </c>
      <c r="W80" s="131">
        <f>SUM(W81:W85)</f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340</v>
      </c>
      <c r="D81" s="133">
        <f t="shared" si="21"/>
        <v>0</v>
      </c>
      <c r="E81" s="140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40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40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40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40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40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40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40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40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40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40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40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40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40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40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T81" s="140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U81" s="140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V81" s="140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W81" s="140">
        <f>SUMIFS('Plan rashoda za unos u SAP'!$J$3:$J$501,'Plan rashoda za unos u SAP'!$C$3:$C$501,"=83",'Plan rashoda za unos u SAP'!$N$3:$N$501,"=41")+SUMIFS('ANALITIKA EU PROJEKATA'!$H$3:$H$501,'ANALITIKA EU PROJEKATA'!$A$3:$A$501,"=83",'ANALITIKA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261</v>
      </c>
      <c r="D82" s="133">
        <f t="shared" si="21"/>
        <v>60000</v>
      </c>
      <c r="E82" s="140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0</v>
      </c>
      <c r="F82" s="140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40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0</v>
      </c>
      <c r="H82" s="140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40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60000</v>
      </c>
      <c r="J82" s="140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40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40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40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40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40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40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40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40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40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T82" s="140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U82" s="140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V82" s="140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W82" s="140">
        <f>SUMIFS('Plan rashoda za unos u SAP'!$J$3:$J$501,'Plan rashoda za unos u SAP'!$C$3:$C$501,"=83",'Plan rashoda za unos u SAP'!$N$3:$N$501,"=42")+SUMIFS('ANALITIKA EU PROJEKATA'!$H$3:$H$501,'ANALITIKA EU PROJEKATA'!$A$3:$A$501,"=83",'ANALITIKA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344</v>
      </c>
      <c r="D83" s="133">
        <f t="shared" si="21"/>
        <v>0</v>
      </c>
      <c r="E83" s="140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40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40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40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40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40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40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40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40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40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40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40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40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40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40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T83" s="140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U83" s="140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V83" s="140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W83" s="140">
        <f>SUMIFS('Plan rashoda za unos u SAP'!$J$3:$J$501,'Plan rashoda za unos u SAP'!$C$3:$C$501,"=83",'Plan rashoda za unos u SAP'!$N$3:$N$501,"=43")+SUMIFS('ANALITIKA EU PROJEKATA'!$H$3:$H$501,'ANALITIKA EU PROJEKATA'!$A$3:$A$501,"=83",'ANALITIKA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345</v>
      </c>
      <c r="D84" s="133">
        <f t="shared" si="21"/>
        <v>0</v>
      </c>
      <c r="E84" s="140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40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40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40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40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40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40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40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40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40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40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40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40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40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40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T84" s="140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U84" s="140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V84" s="140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W84" s="140">
        <f>SUMIFS('Plan rashoda za unos u SAP'!$J$3:$J$501,'Plan rashoda za unos u SAP'!$C$3:$C$501,"=83",'Plan rashoda za unos u SAP'!$N$3:$N$501,"=44")+SUMIFS('ANALITIKA EU PROJEKATA'!$H$3:$H$501,'ANALITIKA EU PROJEKATA'!$A$3:$A$501,"=83",'ANALITIKA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222</v>
      </c>
      <c r="D85" s="133">
        <f t="shared" si="21"/>
        <v>0</v>
      </c>
      <c r="E85" s="140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40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40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40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40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40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40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40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40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40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40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40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40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40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40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T85" s="140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U85" s="140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V85" s="140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W85" s="140">
        <f>SUMIFS('Plan rashoda za unos u SAP'!$J$3:$J$501,'Plan rashoda za unos u SAP'!$C$3:$C$501,"=83",'Plan rashoda za unos u SAP'!$N$3:$N$501,"=45")+SUMIFS('ANALITIKA EU PROJEKATA'!$H$3:$H$501,'ANALITIKA EU PROJEKATA'!$A$3:$A$501,"=83",'ANALITIKA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1"/>
        <v>0</v>
      </c>
      <c r="E86" s="125">
        <f t="shared" ref="E86:V86" si="24">SUM(E87:E88)</f>
        <v>0</v>
      </c>
      <c r="F86" s="125">
        <f t="shared" si="24"/>
        <v>0</v>
      </c>
      <c r="G86" s="125">
        <f t="shared" si="24"/>
        <v>0</v>
      </c>
      <c r="H86" s="125">
        <f>SUM(H87:H88)</f>
        <v>0</v>
      </c>
      <c r="I86" s="125">
        <f t="shared" si="24"/>
        <v>0</v>
      </c>
      <c r="J86" s="125">
        <f t="shared" si="24"/>
        <v>0</v>
      </c>
      <c r="K86" s="125">
        <f t="shared" si="24"/>
        <v>0</v>
      </c>
      <c r="L86" s="125">
        <f>SUM(L87:L88)</f>
        <v>0</v>
      </c>
      <c r="M86" s="125">
        <f t="shared" si="24"/>
        <v>0</v>
      </c>
      <c r="N86" s="125">
        <f t="shared" si="24"/>
        <v>0</v>
      </c>
      <c r="O86" s="125">
        <f t="shared" si="24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 t="shared" si="24"/>
        <v>0</v>
      </c>
      <c r="T86" s="125">
        <f t="shared" si="24"/>
        <v>0</v>
      </c>
      <c r="U86" s="125">
        <f t="shared" si="24"/>
        <v>0</v>
      </c>
      <c r="V86" s="125">
        <f t="shared" si="24"/>
        <v>0</v>
      </c>
      <c r="W86" s="125">
        <f>SUM(W87:W88)</f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357</v>
      </c>
      <c r="D87" s="78">
        <f t="shared" si="21"/>
        <v>0</v>
      </c>
      <c r="E87" s="140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40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40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40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40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40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40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40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40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40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40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40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40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40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40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T87" s="140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U87" s="140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V87" s="140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W87" s="140">
        <f>SUMIFS('Plan rashoda za unos u SAP'!$J$3:$J$501,'Plan rashoda za unos u SAP'!$C$3:$C$501,"=83",'Plan rashoda za unos u SAP'!$N$3:$N$501,"=51")+SUMIFS('ANALITIKA EU PROJEKATA'!$H$3:$H$501,'ANALITIKA EU PROJEKATA'!$A$3:$A$501,"=83",'ANALITIKA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358</v>
      </c>
      <c r="D88" s="78">
        <f t="shared" si="21"/>
        <v>0</v>
      </c>
      <c r="E88" s="140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40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40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40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40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40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40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40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40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40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40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40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40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40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40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T88" s="140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U88" s="140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V88" s="140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W88" s="140">
        <f>SUMIFS('Plan rashoda za unos u SAP'!$J$3:$J$501,'Plan rashoda za unos u SAP'!$C$3:$C$501,"=83",'Plan rashoda za unos u SAP'!$N$3:$N$501,"=54")+SUMIFS('ANALITIKA EU PROJEKATA'!$H$3:$H$501,'ANALITIKA EU PROJEKATA'!$A$3:$A$501,"=83",'ANALITIKA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2139</v>
      </c>
      <c r="B90" s="93" t="s">
        <v>202</v>
      </c>
      <c r="C90" s="93" t="s">
        <v>203</v>
      </c>
      <c r="D90" s="2" t="s">
        <v>356</v>
      </c>
      <c r="E90" s="2" t="s">
        <v>40</v>
      </c>
      <c r="F90" s="2" t="s">
        <v>325</v>
      </c>
      <c r="G90" s="93" t="s">
        <v>19</v>
      </c>
      <c r="H90" s="93" t="s">
        <v>1560</v>
      </c>
      <c r="I90" s="93" t="s">
        <v>20</v>
      </c>
      <c r="J90" s="93" t="s">
        <v>273</v>
      </c>
      <c r="K90" s="93" t="s">
        <v>274</v>
      </c>
      <c r="L90" s="93" t="s">
        <v>1561</v>
      </c>
      <c r="M90" s="93" t="s">
        <v>275</v>
      </c>
      <c r="N90" s="93" t="s">
        <v>276</v>
      </c>
      <c r="O90" s="93" t="s">
        <v>277</v>
      </c>
      <c r="P90" s="93" t="s">
        <v>1562</v>
      </c>
      <c r="Q90" s="93" t="s">
        <v>1563</v>
      </c>
      <c r="R90" s="93" t="s">
        <v>2133</v>
      </c>
      <c r="S90" s="93" t="s">
        <v>278</v>
      </c>
      <c r="T90" s="93" t="s">
        <v>279</v>
      </c>
      <c r="U90" s="93" t="s">
        <v>1534</v>
      </c>
      <c r="V90" s="93" t="s">
        <v>1533</v>
      </c>
      <c r="W90" s="93" t="s">
        <v>1535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350</v>
      </c>
      <c r="D91" s="120">
        <f>SUM(E91:W91)</f>
        <v>8483153</v>
      </c>
      <c r="E91" s="121">
        <f t="shared" ref="E91:W91" si="25">E92+E100+E106</f>
        <v>7978703</v>
      </c>
      <c r="F91" s="121">
        <f t="shared" si="25"/>
        <v>0</v>
      </c>
      <c r="G91" s="121">
        <f t="shared" si="25"/>
        <v>83100</v>
      </c>
      <c r="H91" s="121">
        <f>H92+H100+H106</f>
        <v>0</v>
      </c>
      <c r="I91" s="121">
        <f t="shared" si="25"/>
        <v>401350</v>
      </c>
      <c r="J91" s="121">
        <f t="shared" si="25"/>
        <v>0</v>
      </c>
      <c r="K91" s="121">
        <f t="shared" si="25"/>
        <v>20000</v>
      </c>
      <c r="L91" s="121">
        <f>L92+L100+L106</f>
        <v>0</v>
      </c>
      <c r="M91" s="121">
        <f t="shared" si="25"/>
        <v>0</v>
      </c>
      <c r="N91" s="121">
        <f t="shared" si="25"/>
        <v>0</v>
      </c>
      <c r="O91" s="121">
        <f t="shared" si="25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 t="shared" si="25"/>
        <v>0</v>
      </c>
      <c r="T91" s="121">
        <f t="shared" si="25"/>
        <v>0</v>
      </c>
      <c r="U91" s="121">
        <f t="shared" si="25"/>
        <v>0</v>
      </c>
      <c r="V91" s="121">
        <f t="shared" si="25"/>
        <v>0</v>
      </c>
      <c r="W91" s="121">
        <f t="shared" si="25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204</v>
      </c>
      <c r="D92" s="124">
        <f t="shared" ref="D92:D108" si="26">SUM(E92:W92)</f>
        <v>8423153</v>
      </c>
      <c r="E92" s="130">
        <f t="shared" ref="E92:G92" si="27">SUM(E93:E99)</f>
        <v>7978703</v>
      </c>
      <c r="F92" s="130">
        <f t="shared" si="27"/>
        <v>0</v>
      </c>
      <c r="G92" s="130">
        <f t="shared" si="27"/>
        <v>83100</v>
      </c>
      <c r="H92" s="130">
        <f>SUM(H93:H99)</f>
        <v>0</v>
      </c>
      <c r="I92" s="130">
        <f t="shared" ref="I92:K92" si="28">SUM(I93:I99)</f>
        <v>341350</v>
      </c>
      <c r="J92" s="130">
        <f t="shared" si="28"/>
        <v>0</v>
      </c>
      <c r="K92" s="130">
        <f t="shared" si="28"/>
        <v>20000</v>
      </c>
      <c r="L92" s="130">
        <f>SUM(L93:L99)</f>
        <v>0</v>
      </c>
      <c r="M92" s="130">
        <f t="shared" ref="M92:O92" si="29">SUM(M93:M99)</f>
        <v>0</v>
      </c>
      <c r="N92" s="130">
        <f t="shared" si="29"/>
        <v>0</v>
      </c>
      <c r="O92" s="130">
        <f t="shared" si="29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 t="shared" ref="S92:V92" si="30">SUM(S93:S99)</f>
        <v>0</v>
      </c>
      <c r="T92" s="130">
        <f t="shared" si="30"/>
        <v>0</v>
      </c>
      <c r="U92" s="130">
        <f t="shared" si="30"/>
        <v>0</v>
      </c>
      <c r="V92" s="130">
        <f t="shared" si="30"/>
        <v>0</v>
      </c>
      <c r="W92" s="130">
        <f>SUM(W93:W99)</f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205</v>
      </c>
      <c r="D93" s="132">
        <f t="shared" si="26"/>
        <v>7558742</v>
      </c>
      <c r="E93" s="140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7475642</v>
      </c>
      <c r="F93" s="140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40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83100</v>
      </c>
      <c r="H93" s="140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40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0</v>
      </c>
      <c r="J93" s="140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40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40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40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40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40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40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40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40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40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T93" s="140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U93" s="140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V93" s="140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W93" s="140">
        <f>SUMIFS('Plan rashoda za unos u SAP'!$K$3:$K$501,'Plan rashoda za unos u SAP'!$C$3:$C$501,"=83",'Plan rashoda za unos u SAP'!$N$3:$N$501,"=31")+SUMIFS('ANALITIKA EU PROJEKATA'!$I$3:$I$501,'ANALITIKA EU PROJEKATA'!$A$3:$A$501,"=83",'ANALITIKA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206</v>
      </c>
      <c r="D94" s="133">
        <f t="shared" si="26"/>
        <v>848411</v>
      </c>
      <c r="E94" s="140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503061</v>
      </c>
      <c r="F94" s="140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40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0</v>
      </c>
      <c r="H94" s="140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40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325350</v>
      </c>
      <c r="J94" s="140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40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20000</v>
      </c>
      <c r="L94" s="140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40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40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40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40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40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40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40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T94" s="140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U94" s="140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V94" s="140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W94" s="140">
        <f>SUMIFS('Plan rashoda za unos u SAP'!$K$3:$K$501,'Plan rashoda za unos u SAP'!$C$3:$C$501,"=83",'Plan rashoda za unos u SAP'!$N$3:$N$501,"=32")+SUMIFS('ANALITIKA EU PROJEKATA'!$I$3:$I$501,'ANALITIKA EU PROJEKATA'!$A$3:$A$501,"=83",'ANALITIKA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210</v>
      </c>
      <c r="D95" s="133">
        <f t="shared" si="26"/>
        <v>4000</v>
      </c>
      <c r="E95" s="140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0</v>
      </c>
      <c r="F95" s="140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40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0</v>
      </c>
      <c r="H95" s="140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40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4000</v>
      </c>
      <c r="J95" s="140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40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40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40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40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40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40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40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40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40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T95" s="140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U95" s="140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V95" s="140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W95" s="140">
        <f>SUMIFS('Plan rashoda za unos u SAP'!$K$3:$K$501,'Plan rashoda za unos u SAP'!$C$3:$C$501,"=83",'Plan rashoda za unos u SAP'!$N$3:$N$501,"=34")+SUMIFS('ANALITIKA EU PROJEKATA'!$I$3:$I$501,'ANALITIKA EU PROJEKATA'!$A$3:$A$501,"=83",'ANALITIKA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328</v>
      </c>
      <c r="D96" s="133">
        <f t="shared" si="26"/>
        <v>0</v>
      </c>
      <c r="E96" s="140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40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40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40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40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40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40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40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40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40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40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40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40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40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40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T96" s="140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U96" s="140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V96" s="140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W96" s="140">
        <f>SUMIFS('Plan rashoda za unos u SAP'!$K$3:$K$501,'Plan rashoda za unos u SAP'!$C$3:$C$501,"=83",'Plan rashoda za unos u SAP'!$N$3:$N$501,"=35")+SUMIFS('ANALITIKA EU PROJEKATA'!$I$3:$I$501,'ANALITIKA EU PROJEKATA'!$A$3:$A$501,"=83",'ANALITIKA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212</v>
      </c>
      <c r="D97" s="133">
        <f t="shared" si="26"/>
        <v>0</v>
      </c>
      <c r="E97" s="140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40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40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40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40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40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40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40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40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40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40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40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40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40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40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T97" s="140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U97" s="140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V97" s="140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W97" s="140">
        <f>SUMIFS('Plan rashoda za unos u SAP'!$K$3:$K$501,'Plan rashoda za unos u SAP'!$C$3:$C$501,"=83",'Plan rashoda za unos u SAP'!$N$3:$N$501,"=36")+SUMIFS('ANALITIKA EU PROJEKATA'!$I$3:$I$501,'ANALITIKA EU PROJEKATA'!$A$3:$A$501,"=83",'ANALITIKA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335</v>
      </c>
      <c r="D98" s="133">
        <f t="shared" si="26"/>
        <v>12000</v>
      </c>
      <c r="E98" s="140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40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40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40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40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12000</v>
      </c>
      <c r="J98" s="140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40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40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40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40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40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40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40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40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40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T98" s="140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U98" s="140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V98" s="140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W98" s="140">
        <f>SUMIFS('Plan rashoda za unos u SAP'!$K$3:$K$501,'Plan rashoda za unos u SAP'!$C$3:$C$501,"=83",'Plan rashoda za unos u SAP'!$N$3:$N$501,"=37")+SUMIFS('ANALITIKA EU PROJEKATA'!$I$3:$I$501,'ANALITIKA EU PROJEKATA'!$A$3:$A$501,"=83",'ANALITIKA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214</v>
      </c>
      <c r="D99" s="133">
        <f t="shared" si="26"/>
        <v>0</v>
      </c>
      <c r="E99" s="140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40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40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40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40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40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40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40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40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40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40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40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40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40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40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T99" s="140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U99" s="140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V99" s="140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W99" s="140">
        <f>SUMIFS('Plan rashoda za unos u SAP'!$K$3:$K$501,'Plan rashoda za unos u SAP'!$C$3:$C$501,"=83",'Plan rashoda za unos u SAP'!$N$3:$N$501,"=38")+SUMIFS('ANALITIKA EU PROJEKATA'!$I$3:$I$501,'ANALITIKA EU PROJEKATA'!$A$3:$A$501,"=83",'ANALITIKA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216</v>
      </c>
      <c r="D100" s="126">
        <f t="shared" si="26"/>
        <v>60000</v>
      </c>
      <c r="E100" s="131">
        <f t="shared" ref="E100:G100" si="31">SUM(E101:E105)</f>
        <v>0</v>
      </c>
      <c r="F100" s="131">
        <f t="shared" si="31"/>
        <v>0</v>
      </c>
      <c r="G100" s="131">
        <f t="shared" si="31"/>
        <v>0</v>
      </c>
      <c r="H100" s="131">
        <f>SUM(H101:H105)</f>
        <v>0</v>
      </c>
      <c r="I100" s="131">
        <f t="shared" ref="I100:K100" si="32">SUM(I101:I105)</f>
        <v>60000</v>
      </c>
      <c r="J100" s="131">
        <f t="shared" si="32"/>
        <v>0</v>
      </c>
      <c r="K100" s="131">
        <f t="shared" si="32"/>
        <v>0</v>
      </c>
      <c r="L100" s="131">
        <f>SUM(L101:L105)</f>
        <v>0</v>
      </c>
      <c r="M100" s="131">
        <f t="shared" ref="M100:O100" si="33">SUM(M101:M105)</f>
        <v>0</v>
      </c>
      <c r="N100" s="131">
        <f t="shared" si="33"/>
        <v>0</v>
      </c>
      <c r="O100" s="131">
        <f t="shared" si="33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 t="shared" ref="S100:V100" si="34">SUM(S101:S105)</f>
        <v>0</v>
      </c>
      <c r="T100" s="131">
        <f t="shared" si="34"/>
        <v>0</v>
      </c>
      <c r="U100" s="131">
        <f t="shared" si="34"/>
        <v>0</v>
      </c>
      <c r="V100" s="131">
        <f t="shared" si="34"/>
        <v>0</v>
      </c>
      <c r="W100" s="131">
        <f>SUM(W101:W105)</f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340</v>
      </c>
      <c r="D101" s="133">
        <f t="shared" si="26"/>
        <v>0</v>
      </c>
      <c r="E101" s="140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40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40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40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40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40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40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40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40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40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40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40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40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40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40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T101" s="140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U101" s="140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V101" s="140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W101" s="140">
        <f>SUMIFS('Plan rashoda za unos u SAP'!$K$3:$K$501,'Plan rashoda za unos u SAP'!$C$3:$C$501,"=83",'Plan rashoda za unos u SAP'!$N$3:$N$501,"=41")+SUMIFS('ANALITIKA EU PROJEKATA'!$I$3:$I$501,'ANALITIKA EU PROJEKATA'!$A$3:$A$501,"=83",'ANALITIKA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261</v>
      </c>
      <c r="D102" s="133">
        <f t="shared" si="26"/>
        <v>60000</v>
      </c>
      <c r="E102" s="140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0</v>
      </c>
      <c r="F102" s="140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40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0</v>
      </c>
      <c r="H102" s="140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40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60000</v>
      </c>
      <c r="J102" s="140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40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40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40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40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40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40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40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40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40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T102" s="140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U102" s="140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V102" s="140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W102" s="140">
        <f>SUMIFS('Plan rashoda za unos u SAP'!$K$3:$K$501,'Plan rashoda za unos u SAP'!$C$3:$C$501,"=83",'Plan rashoda za unos u SAP'!$N$3:$N$501,"=42")+SUMIFS('ANALITIKA EU PROJEKATA'!$I$3:$I$501,'ANALITIKA EU PROJEKATA'!$A$3:$A$501,"=83",'ANALITIKA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344</v>
      </c>
      <c r="D103" s="133">
        <f t="shared" si="26"/>
        <v>0</v>
      </c>
      <c r="E103" s="140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40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40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40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40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40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40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40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40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40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40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40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40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40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40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T103" s="140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U103" s="140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V103" s="140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W103" s="140">
        <f>SUMIFS('Plan rashoda za unos u SAP'!$K$3:$K$501,'Plan rashoda za unos u SAP'!$C$3:$C$501,"=83",'Plan rashoda za unos u SAP'!$N$3:$N$501,"=43")+SUMIFS('ANALITIKA EU PROJEKATA'!$I$3:$I$501,'ANALITIKA EU PROJEKATA'!$A$3:$A$501,"=83",'ANALITIKA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345</v>
      </c>
      <c r="D104" s="133">
        <f t="shared" si="26"/>
        <v>0</v>
      </c>
      <c r="E104" s="140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40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40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40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40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40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40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40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40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40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40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40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40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40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40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T104" s="140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U104" s="140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V104" s="140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W104" s="140">
        <f>SUMIFS('Plan rashoda za unos u SAP'!$K$3:$K$501,'Plan rashoda za unos u SAP'!$C$3:$C$501,"=83",'Plan rashoda za unos u SAP'!$N$3:$N$501,"=44")+SUMIFS('ANALITIKA EU PROJEKATA'!$I$3:$I$501,'ANALITIKA EU PROJEKATA'!$A$3:$A$501,"=83",'ANALITIKA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222</v>
      </c>
      <c r="D105" s="133">
        <f t="shared" si="26"/>
        <v>0</v>
      </c>
      <c r="E105" s="140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40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40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40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40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40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40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40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40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40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40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40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40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40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40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T105" s="140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U105" s="140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V105" s="140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W105" s="140">
        <f>SUMIFS('Plan rashoda za unos u SAP'!$K$3:$K$501,'Plan rashoda za unos u SAP'!$C$3:$C$501,"=83",'Plan rashoda za unos u SAP'!$N$3:$N$501,"=45")+SUMIFS('ANALITIKA EU PROJEKATA'!$I$3:$I$501,'ANALITIKA EU PROJEKATA'!$A$3:$A$501,"=83",'ANALITIKA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6"/>
        <v>0</v>
      </c>
      <c r="E106" s="125">
        <f t="shared" ref="E106:G106" si="35">SUM(E107:E108)</f>
        <v>0</v>
      </c>
      <c r="F106" s="125">
        <f t="shared" si="35"/>
        <v>0</v>
      </c>
      <c r="G106" s="125">
        <f t="shared" si="35"/>
        <v>0</v>
      </c>
      <c r="H106" s="125">
        <f>SUM(H107:H108)</f>
        <v>0</v>
      </c>
      <c r="I106" s="125">
        <f t="shared" ref="I106:K106" si="36">SUM(I107:I108)</f>
        <v>0</v>
      </c>
      <c r="J106" s="125">
        <f t="shared" si="36"/>
        <v>0</v>
      </c>
      <c r="K106" s="125">
        <f t="shared" si="36"/>
        <v>0</v>
      </c>
      <c r="L106" s="125">
        <f>SUM(L107:L108)</f>
        <v>0</v>
      </c>
      <c r="M106" s="125">
        <f t="shared" ref="M106:O106" si="37">SUM(M107:M108)</f>
        <v>0</v>
      </c>
      <c r="N106" s="125">
        <f t="shared" si="37"/>
        <v>0</v>
      </c>
      <c r="O106" s="125">
        <f t="shared" si="37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 t="shared" ref="S106:V106" si="38">SUM(S107:S108)</f>
        <v>0</v>
      </c>
      <c r="T106" s="125">
        <f t="shared" si="38"/>
        <v>0</v>
      </c>
      <c r="U106" s="125">
        <f t="shared" si="38"/>
        <v>0</v>
      </c>
      <c r="V106" s="125">
        <f t="shared" si="38"/>
        <v>0</v>
      </c>
      <c r="W106" s="125">
        <f>SUM(W107:W108)</f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357</v>
      </c>
      <c r="D107" s="78">
        <f t="shared" si="26"/>
        <v>0</v>
      </c>
      <c r="E107" s="140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40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40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40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40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40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40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40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40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40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40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40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40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40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40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T107" s="140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U107" s="140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V107" s="140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W107" s="140">
        <f>SUMIFS('Plan rashoda za unos u SAP'!$K$3:$K$501,'Plan rashoda za unos u SAP'!$C$3:$C$501,"=83",'Plan rashoda za unos u SAP'!$N$3:$N$501,"=51")+SUMIFS('ANALITIKA EU PROJEKATA'!$I$3:$I$501,'ANALITIKA EU PROJEKATA'!$A$3:$A$501,"=83",'ANALITIKA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358</v>
      </c>
      <c r="D108" s="78">
        <f t="shared" si="26"/>
        <v>0</v>
      </c>
      <c r="E108" s="140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40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40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40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40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40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40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40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40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40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40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40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40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40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40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T108" s="140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U108" s="140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V108" s="140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W108" s="140">
        <f>SUMIFS('Plan rashoda za unos u SAP'!$K$3:$K$501,'Plan rashoda za unos u SAP'!$C$3:$C$501,"=83",'Plan rashoda za unos u SAP'!$N$3:$N$501,"=54")+SUMIFS('ANALITIKA EU PROJEKATA'!$I$3:$I$501,'ANALITIKA EU PROJEKATA'!$A$3:$A$501,"=83",'ANALITIKA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password="DE31" sheet="1" objects="1" scenarios="1" selectLockedCells="1" autoFilter="0"/>
  <autoFilter ref="B70:V85" xr:uid="{00000000-0009-0000-0000-000005000000}"/>
  <mergeCells count="1">
    <mergeCell ref="B1:V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27"/>
  <sheetViews>
    <sheetView workbookViewId="0">
      <selection activeCell="H9" sqref="H9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223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224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225</v>
      </c>
      <c r="B8" s="26"/>
    </row>
    <row r="9" spans="1:8" ht="15.75" thickBot="1"/>
    <row r="10" spans="1:8" ht="15" customHeight="1">
      <c r="A10" s="301" t="s">
        <v>226</v>
      </c>
      <c r="B10" s="303" t="s">
        <v>227</v>
      </c>
      <c r="C10" s="303" t="s">
        <v>228</v>
      </c>
      <c r="D10" s="306" t="s">
        <v>229</v>
      </c>
      <c r="E10" s="299" t="s">
        <v>2137</v>
      </c>
      <c r="F10" s="299" t="s">
        <v>230</v>
      </c>
      <c r="G10" s="299" t="s">
        <v>791</v>
      </c>
      <c r="H10" s="299" t="s">
        <v>2138</v>
      </c>
    </row>
    <row r="11" spans="1:8" ht="15.75" thickBot="1">
      <c r="A11" s="302"/>
      <c r="B11" s="304"/>
      <c r="C11" s="305"/>
      <c r="D11" s="307"/>
      <c r="E11" s="308"/>
      <c r="F11" s="300"/>
      <c r="G11" s="300"/>
      <c r="H11" s="300"/>
    </row>
    <row r="12" spans="1:8">
      <c r="A12" s="29"/>
      <c r="B12" s="30"/>
      <c r="C12" s="31"/>
      <c r="D12" s="199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231</v>
      </c>
      <c r="B23" s="55"/>
      <c r="C23" s="56"/>
      <c r="D23" s="56"/>
      <c r="E23" s="56"/>
      <c r="F23" s="56"/>
      <c r="G23" s="57" t="s">
        <v>232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233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184"/>
  <sheetViews>
    <sheetView topLeftCell="A41" workbookViewId="0">
      <selection activeCell="C53" sqref="C53"/>
    </sheetView>
  </sheetViews>
  <sheetFormatPr defaultRowHeight="15"/>
  <cols>
    <col min="1" max="1" width="15.85546875" customWidth="1"/>
    <col min="2" max="2" width="113.5703125" customWidth="1"/>
  </cols>
  <sheetData>
    <row r="1" spans="1:2">
      <c r="A1" s="225" t="s">
        <v>1195</v>
      </c>
      <c r="B1" s="226" t="s">
        <v>610</v>
      </c>
    </row>
    <row r="2" spans="1:2" s="206" customFormat="1">
      <c r="A2" s="205" t="s">
        <v>1209</v>
      </c>
      <c r="B2" s="227" t="s">
        <v>1210</v>
      </c>
    </row>
    <row r="3" spans="1:2" hidden="1">
      <c r="A3" s="228" t="s">
        <v>1205</v>
      </c>
      <c r="B3" s="229" t="s">
        <v>1206</v>
      </c>
    </row>
    <row r="4" spans="1:2" hidden="1">
      <c r="A4" s="230" t="s">
        <v>2028</v>
      </c>
      <c r="B4" s="231" t="s">
        <v>2029</v>
      </c>
    </row>
    <row r="5" spans="1:2" hidden="1">
      <c r="A5" s="230" t="s">
        <v>2030</v>
      </c>
      <c r="B5" s="231" t="s">
        <v>2031</v>
      </c>
    </row>
    <row r="6" spans="1:2" hidden="1">
      <c r="A6" s="230" t="s">
        <v>1211</v>
      </c>
      <c r="B6" s="231" t="s">
        <v>1212</v>
      </c>
    </row>
    <row r="7" spans="1:2" hidden="1">
      <c r="A7" s="230" t="s">
        <v>2032</v>
      </c>
      <c r="B7" s="231" t="s">
        <v>2033</v>
      </c>
    </row>
    <row r="8" spans="1:2" hidden="1">
      <c r="A8" s="230" t="s">
        <v>1213</v>
      </c>
      <c r="B8" s="231" t="s">
        <v>1214</v>
      </c>
    </row>
    <row r="9" spans="1:2" hidden="1">
      <c r="A9" s="230" t="s">
        <v>2034</v>
      </c>
      <c r="B9" s="231" t="s">
        <v>2035</v>
      </c>
    </row>
    <row r="10" spans="1:2" hidden="1">
      <c r="A10" s="230" t="s">
        <v>1215</v>
      </c>
      <c r="B10" s="231" t="s">
        <v>1216</v>
      </c>
    </row>
    <row r="11" spans="1:2" hidden="1">
      <c r="A11" s="230" t="s">
        <v>2036</v>
      </c>
      <c r="B11" s="231" t="s">
        <v>2037</v>
      </c>
    </row>
    <row r="12" spans="1:2" hidden="1">
      <c r="A12" s="230" t="s">
        <v>2038</v>
      </c>
      <c r="B12" s="231" t="s">
        <v>2039</v>
      </c>
    </row>
    <row r="13" spans="1:2" hidden="1">
      <c r="A13" s="230" t="s">
        <v>2040</v>
      </c>
      <c r="B13" s="231" t="s">
        <v>2041</v>
      </c>
    </row>
    <row r="14" spans="1:2" hidden="1">
      <c r="A14" s="230" t="s">
        <v>2042</v>
      </c>
      <c r="B14" s="231" t="s">
        <v>1426</v>
      </c>
    </row>
    <row r="15" spans="1:2" hidden="1">
      <c r="A15" s="230" t="s">
        <v>2043</v>
      </c>
      <c r="B15" s="231" t="s">
        <v>2044</v>
      </c>
    </row>
    <row r="16" spans="1:2" hidden="1">
      <c r="A16" s="230" t="s">
        <v>1225</v>
      </c>
      <c r="B16" s="231" t="s">
        <v>1226</v>
      </c>
    </row>
    <row r="17" spans="1:2" hidden="1">
      <c r="A17" s="230" t="s">
        <v>1227</v>
      </c>
      <c r="B17" s="231" t="s">
        <v>1228</v>
      </c>
    </row>
    <row r="18" spans="1:2" hidden="1">
      <c r="A18" s="230" t="s">
        <v>2045</v>
      </c>
      <c r="B18" s="231" t="s">
        <v>2046</v>
      </c>
    </row>
    <row r="19" spans="1:2" hidden="1">
      <c r="A19" s="230" t="s">
        <v>2047</v>
      </c>
      <c r="B19" s="231" t="s">
        <v>2048</v>
      </c>
    </row>
    <row r="20" spans="1:2" hidden="1">
      <c r="A20" s="230" t="s">
        <v>1217</v>
      </c>
      <c r="B20" s="231" t="s">
        <v>1218</v>
      </c>
    </row>
    <row r="21" spans="1:2" hidden="1">
      <c r="A21" s="230" t="s">
        <v>1219</v>
      </c>
      <c r="B21" s="231" t="s">
        <v>1220</v>
      </c>
    </row>
    <row r="22" spans="1:2" hidden="1">
      <c r="A22" s="230" t="s">
        <v>1229</v>
      </c>
      <c r="B22" s="231" t="s">
        <v>1230</v>
      </c>
    </row>
    <row r="23" spans="1:2" hidden="1">
      <c r="A23" s="230" t="s">
        <v>2049</v>
      </c>
      <c r="B23" s="231" t="s">
        <v>2050</v>
      </c>
    </row>
    <row r="24" spans="1:2" hidden="1">
      <c r="A24" s="230" t="s">
        <v>2051</v>
      </c>
      <c r="B24" s="231" t="s">
        <v>2052</v>
      </c>
    </row>
    <row r="25" spans="1:2" hidden="1">
      <c r="A25" s="230" t="s">
        <v>2053</v>
      </c>
      <c r="B25" s="231" t="s">
        <v>2054</v>
      </c>
    </row>
    <row r="26" spans="1:2" hidden="1">
      <c r="A26" s="230" t="s">
        <v>1234</v>
      </c>
      <c r="B26" s="231" t="s">
        <v>1235</v>
      </c>
    </row>
    <row r="27" spans="1:2" hidden="1">
      <c r="A27" s="230" t="s">
        <v>2055</v>
      </c>
      <c r="B27" s="231" t="s">
        <v>2056</v>
      </c>
    </row>
    <row r="28" spans="1:2" hidden="1">
      <c r="A28" s="230" t="s">
        <v>1231</v>
      </c>
      <c r="B28" s="231" t="s">
        <v>1232</v>
      </c>
    </row>
    <row r="29" spans="1:2" hidden="1">
      <c r="A29" s="230" t="s">
        <v>1221</v>
      </c>
      <c r="B29" s="231" t="s">
        <v>1222</v>
      </c>
    </row>
    <row r="30" spans="1:2" hidden="1">
      <c r="A30" s="230" t="s">
        <v>2057</v>
      </c>
      <c r="B30" s="231" t="s">
        <v>2058</v>
      </c>
    </row>
    <row r="31" spans="1:2" hidden="1">
      <c r="A31" s="230" t="s">
        <v>2059</v>
      </c>
      <c r="B31" s="231" t="s">
        <v>2060</v>
      </c>
    </row>
    <row r="32" spans="1:2" hidden="1">
      <c r="A32" s="230" t="s">
        <v>2061</v>
      </c>
      <c r="B32" s="231" t="s">
        <v>2062</v>
      </c>
    </row>
    <row r="33" spans="1:2" hidden="1">
      <c r="A33" s="230" t="s">
        <v>2063</v>
      </c>
      <c r="B33" s="231" t="s">
        <v>2064</v>
      </c>
    </row>
    <row r="34" spans="1:2" hidden="1">
      <c r="A34" s="230" t="s">
        <v>2066</v>
      </c>
      <c r="B34" s="231" t="s">
        <v>2067</v>
      </c>
    </row>
    <row r="35" spans="1:2" hidden="1">
      <c r="A35" s="230" t="s">
        <v>2068</v>
      </c>
      <c r="B35" s="231" t="s">
        <v>2069</v>
      </c>
    </row>
    <row r="36" spans="1:2" hidden="1">
      <c r="A36" s="230" t="s">
        <v>2124</v>
      </c>
      <c r="B36" s="231" t="s">
        <v>2125</v>
      </c>
    </row>
    <row r="37" spans="1:2" hidden="1">
      <c r="A37" s="230" t="s">
        <v>2135</v>
      </c>
      <c r="B37" s="231" t="s">
        <v>2134</v>
      </c>
    </row>
    <row r="38" spans="1:2">
      <c r="A38" s="228" t="s">
        <v>51</v>
      </c>
      <c r="B38" s="229" t="s">
        <v>52</v>
      </c>
    </row>
    <row r="39" spans="1:2">
      <c r="A39" s="230" t="s">
        <v>55</v>
      </c>
      <c r="B39" s="231" t="s">
        <v>56</v>
      </c>
    </row>
    <row r="40" spans="1:2">
      <c r="A40" s="230" t="s">
        <v>65</v>
      </c>
      <c r="B40" s="231" t="s">
        <v>66</v>
      </c>
    </row>
    <row r="41" spans="1:2">
      <c r="A41" s="230" t="s">
        <v>68</v>
      </c>
      <c r="B41" s="231" t="s">
        <v>69</v>
      </c>
    </row>
    <row r="42" spans="1:2">
      <c r="A42" s="230" t="s">
        <v>70</v>
      </c>
      <c r="B42" s="231" t="s">
        <v>71</v>
      </c>
    </row>
    <row r="43" spans="1:2">
      <c r="A43" s="230" t="s">
        <v>803</v>
      </c>
      <c r="B43" s="231" t="s">
        <v>804</v>
      </c>
    </row>
    <row r="44" spans="1:2">
      <c r="A44" s="230" t="s">
        <v>75</v>
      </c>
      <c r="B44" s="231" t="s">
        <v>76</v>
      </c>
    </row>
    <row r="45" spans="1:2">
      <c r="A45" s="230" t="s">
        <v>77</v>
      </c>
      <c r="B45" s="231" t="s">
        <v>78</v>
      </c>
    </row>
    <row r="46" spans="1:2">
      <c r="A46" s="230" t="s">
        <v>79</v>
      </c>
      <c r="B46" s="231" t="s">
        <v>80</v>
      </c>
    </row>
    <row r="47" spans="1:2">
      <c r="A47" s="230" t="s">
        <v>82</v>
      </c>
      <c r="B47" s="231" t="s">
        <v>83</v>
      </c>
    </row>
    <row r="48" spans="1:2">
      <c r="A48" s="230" t="s">
        <v>807</v>
      </c>
      <c r="B48" s="231" t="s">
        <v>808</v>
      </c>
    </row>
    <row r="49" spans="1:2">
      <c r="A49" s="232" t="s">
        <v>1197</v>
      </c>
      <c r="B49" s="233" t="s">
        <v>1198</v>
      </c>
    </row>
    <row r="50" spans="1:2">
      <c r="A50" s="230" t="s">
        <v>809</v>
      </c>
      <c r="B50" s="231" t="s">
        <v>810</v>
      </c>
    </row>
    <row r="51" spans="1:2">
      <c r="A51" s="230" t="s">
        <v>801</v>
      </c>
      <c r="B51" s="231" t="s">
        <v>802</v>
      </c>
    </row>
    <row r="52" spans="1:2">
      <c r="A52" s="230" t="s">
        <v>2070</v>
      </c>
      <c r="B52" s="231" t="s">
        <v>2071</v>
      </c>
    </row>
    <row r="53" spans="1:2">
      <c r="A53" s="230" t="s">
        <v>149</v>
      </c>
      <c r="B53" s="231" t="s">
        <v>150</v>
      </c>
    </row>
    <row r="54" spans="1:2">
      <c r="A54" s="230" t="s">
        <v>152</v>
      </c>
      <c r="B54" s="231" t="s">
        <v>1570</v>
      </c>
    </row>
    <row r="55" spans="1:2">
      <c r="A55" s="230" t="s">
        <v>181</v>
      </c>
      <c r="B55" s="231" t="s">
        <v>1571</v>
      </c>
    </row>
    <row r="56" spans="1:2">
      <c r="A56" s="230" t="s">
        <v>184</v>
      </c>
      <c r="B56" s="231" t="s">
        <v>1572</v>
      </c>
    </row>
    <row r="57" spans="1:2">
      <c r="A57" s="230" t="s">
        <v>187</v>
      </c>
      <c r="B57" s="231" t="s">
        <v>1573</v>
      </c>
    </row>
    <row r="58" spans="1:2">
      <c r="A58" s="230" t="s">
        <v>191</v>
      </c>
      <c r="B58" s="231" t="s">
        <v>1574</v>
      </c>
    </row>
    <row r="59" spans="1:2">
      <c r="A59" s="230" t="s">
        <v>192</v>
      </c>
      <c r="B59" s="231" t="s">
        <v>1575</v>
      </c>
    </row>
    <row r="60" spans="1:2">
      <c r="A60" s="230" t="s">
        <v>194</v>
      </c>
      <c r="B60" s="231" t="s">
        <v>1576</v>
      </c>
    </row>
    <row r="61" spans="1:2">
      <c r="A61" s="230" t="s">
        <v>200</v>
      </c>
      <c r="B61" s="231" t="s">
        <v>1577</v>
      </c>
    </row>
    <row r="62" spans="1:2">
      <c r="A62" s="230" t="s">
        <v>201</v>
      </c>
      <c r="B62" s="231" t="s">
        <v>1578</v>
      </c>
    </row>
    <row r="63" spans="1:2">
      <c r="A63" s="230" t="s">
        <v>799</v>
      </c>
      <c r="B63" s="231" t="s">
        <v>800</v>
      </c>
    </row>
    <row r="64" spans="1:2">
      <c r="A64" s="230" t="s">
        <v>2072</v>
      </c>
      <c r="B64" s="231" t="s">
        <v>2073</v>
      </c>
    </row>
    <row r="65" spans="1:2">
      <c r="A65" s="230" t="s">
        <v>805</v>
      </c>
      <c r="B65" s="231" t="s">
        <v>806</v>
      </c>
    </row>
    <row r="66" spans="1:2">
      <c r="A66" s="228" t="s">
        <v>655</v>
      </c>
      <c r="B66" s="229" t="s">
        <v>1201</v>
      </c>
    </row>
    <row r="67" spans="1:2">
      <c r="A67" s="230" t="s">
        <v>816</v>
      </c>
      <c r="B67" s="231" t="s">
        <v>817</v>
      </c>
    </row>
    <row r="68" spans="1:2">
      <c r="A68" s="230" t="s">
        <v>818</v>
      </c>
      <c r="B68" s="231" t="s">
        <v>819</v>
      </c>
    </row>
    <row r="69" spans="1:2">
      <c r="A69" s="230" t="s">
        <v>1202</v>
      </c>
      <c r="B69" s="231" t="s">
        <v>1203</v>
      </c>
    </row>
    <row r="70" spans="1:2">
      <c r="A70" s="230" t="s">
        <v>820</v>
      </c>
      <c r="B70" s="231" t="s">
        <v>821</v>
      </c>
    </row>
    <row r="71" spans="1:2">
      <c r="A71" s="230" t="s">
        <v>1204</v>
      </c>
      <c r="B71" s="231" t="s">
        <v>1196</v>
      </c>
    </row>
    <row r="72" spans="1:2">
      <c r="A72" s="230" t="s">
        <v>823</v>
      </c>
      <c r="B72" s="231" t="s">
        <v>1579</v>
      </c>
    </row>
    <row r="73" spans="1:2">
      <c r="A73" s="230" t="s">
        <v>824</v>
      </c>
      <c r="B73" s="231" t="s">
        <v>825</v>
      </c>
    </row>
    <row r="74" spans="1:2">
      <c r="A74" s="228" t="s">
        <v>1236</v>
      </c>
      <c r="B74" s="229" t="s">
        <v>1237</v>
      </c>
    </row>
    <row r="75" spans="1:2">
      <c r="A75" s="230" t="s">
        <v>1238</v>
      </c>
      <c r="B75" s="231" t="s">
        <v>1239</v>
      </c>
    </row>
    <row r="76" spans="1:2">
      <c r="A76" s="230" t="s">
        <v>1240</v>
      </c>
      <c r="B76" s="231" t="s">
        <v>1241</v>
      </c>
    </row>
    <row r="77" spans="1:2">
      <c r="A77" s="228" t="s">
        <v>1242</v>
      </c>
      <c r="B77" s="229" t="s">
        <v>1243</v>
      </c>
    </row>
    <row r="78" spans="1:2">
      <c r="A78" s="230" t="s">
        <v>1244</v>
      </c>
      <c r="B78" s="231" t="s">
        <v>1245</v>
      </c>
    </row>
    <row r="79" spans="1:2">
      <c r="A79" s="230" t="s">
        <v>1246</v>
      </c>
      <c r="B79" s="231" t="s">
        <v>1247</v>
      </c>
    </row>
    <row r="80" spans="1:2">
      <c r="A80" s="230" t="s">
        <v>1248</v>
      </c>
      <c r="B80" s="231" t="s">
        <v>1580</v>
      </c>
    </row>
    <row r="81" spans="1:2">
      <c r="A81" s="230" t="s">
        <v>1249</v>
      </c>
      <c r="B81" s="231" t="s">
        <v>1250</v>
      </c>
    </row>
    <row r="82" spans="1:2">
      <c r="A82" s="228" t="s">
        <v>1251</v>
      </c>
      <c r="B82" s="229" t="s">
        <v>1252</v>
      </c>
    </row>
    <row r="83" spans="1:2">
      <c r="A83" s="230" t="s">
        <v>1255</v>
      </c>
      <c r="B83" s="231" t="s">
        <v>1256</v>
      </c>
    </row>
    <row r="84" spans="1:2">
      <c r="A84" s="230" t="s">
        <v>1257</v>
      </c>
      <c r="B84" s="231" t="s">
        <v>1258</v>
      </c>
    </row>
    <row r="85" spans="1:2">
      <c r="A85" s="230" t="s">
        <v>1259</v>
      </c>
      <c r="B85" s="231" t="s">
        <v>1260</v>
      </c>
    </row>
    <row r="86" spans="1:2">
      <c r="A86" s="230" t="s">
        <v>1261</v>
      </c>
      <c r="B86" s="231" t="s">
        <v>1262</v>
      </c>
    </row>
    <row r="87" spans="1:2">
      <c r="A87" s="230" t="s">
        <v>1263</v>
      </c>
      <c r="B87" s="231" t="s">
        <v>1264</v>
      </c>
    </row>
    <row r="88" spans="1:2">
      <c r="A88" s="230" t="s">
        <v>1265</v>
      </c>
      <c r="B88" s="231" t="s">
        <v>1266</v>
      </c>
    </row>
    <row r="89" spans="1:2">
      <c r="A89" s="230" t="s">
        <v>1267</v>
      </c>
      <c r="B89" s="231" t="s">
        <v>1268</v>
      </c>
    </row>
    <row r="90" spans="1:2">
      <c r="A90" s="230" t="s">
        <v>1269</v>
      </c>
      <c r="B90" s="231" t="s">
        <v>1270</v>
      </c>
    </row>
    <row r="91" spans="1:2">
      <c r="A91" s="230" t="s">
        <v>1271</v>
      </c>
      <c r="B91" s="231" t="s">
        <v>1272</v>
      </c>
    </row>
    <row r="92" spans="1:2">
      <c r="A92" s="230" t="s">
        <v>1273</v>
      </c>
      <c r="B92" s="231" t="s">
        <v>1274</v>
      </c>
    </row>
    <row r="93" spans="1:2">
      <c r="A93" s="230" t="s">
        <v>1275</v>
      </c>
      <c r="B93" s="231" t="s">
        <v>1276</v>
      </c>
    </row>
    <row r="94" spans="1:2">
      <c r="A94" s="230" t="s">
        <v>2074</v>
      </c>
      <c r="B94" s="231" t="s">
        <v>2075</v>
      </c>
    </row>
    <row r="95" spans="1:2">
      <c r="A95" s="230" t="s">
        <v>1277</v>
      </c>
      <c r="B95" s="231" t="s">
        <v>1278</v>
      </c>
    </row>
    <row r="96" spans="1:2">
      <c r="A96" s="230" t="s">
        <v>1279</v>
      </c>
      <c r="B96" s="231" t="s">
        <v>1280</v>
      </c>
    </row>
    <row r="97" spans="1:2">
      <c r="A97" s="228" t="s">
        <v>1285</v>
      </c>
      <c r="B97" s="229" t="s">
        <v>1286</v>
      </c>
    </row>
    <row r="98" spans="1:2">
      <c r="A98" s="230" t="s">
        <v>1287</v>
      </c>
      <c r="B98" s="231" t="s">
        <v>1288</v>
      </c>
    </row>
    <row r="99" spans="1:2">
      <c r="A99" s="230" t="s">
        <v>1289</v>
      </c>
      <c r="B99" s="231" t="s">
        <v>1582</v>
      </c>
    </row>
    <row r="100" spans="1:2">
      <c r="A100" s="228" t="s">
        <v>1290</v>
      </c>
      <c r="B100" s="229" t="s">
        <v>1291</v>
      </c>
    </row>
    <row r="101" spans="1:2">
      <c r="A101" s="230" t="s">
        <v>1292</v>
      </c>
      <c r="B101" s="231" t="s">
        <v>1293</v>
      </c>
    </row>
    <row r="102" spans="1:2">
      <c r="A102" s="230" t="s">
        <v>1294</v>
      </c>
      <c r="B102" s="231" t="s">
        <v>1581</v>
      </c>
    </row>
    <row r="103" spans="1:2">
      <c r="A103" s="230" t="s">
        <v>1295</v>
      </c>
      <c r="B103" s="231" t="s">
        <v>1296</v>
      </c>
    </row>
    <row r="104" spans="1:2">
      <c r="A104" s="230" t="s">
        <v>1297</v>
      </c>
      <c r="B104" s="231" t="s">
        <v>1583</v>
      </c>
    </row>
    <row r="105" spans="1:2">
      <c r="A105" s="228" t="s">
        <v>1300</v>
      </c>
      <c r="B105" s="229" t="s">
        <v>1301</v>
      </c>
    </row>
    <row r="106" spans="1:2">
      <c r="A106" s="230" t="s">
        <v>1302</v>
      </c>
      <c r="B106" s="231" t="s">
        <v>1303</v>
      </c>
    </row>
    <row r="107" spans="1:2">
      <c r="A107" s="230" t="s">
        <v>1304</v>
      </c>
      <c r="B107" s="231" t="s">
        <v>1305</v>
      </c>
    </row>
    <row r="108" spans="1:2">
      <c r="A108" s="230" t="s">
        <v>1306</v>
      </c>
      <c r="B108" s="231" t="s">
        <v>1307</v>
      </c>
    </row>
    <row r="109" spans="1:2">
      <c r="A109" s="230" t="s">
        <v>1308</v>
      </c>
      <c r="B109" s="231" t="s">
        <v>1309</v>
      </c>
    </row>
    <row r="110" spans="1:2">
      <c r="A110" s="230" t="s">
        <v>1310</v>
      </c>
      <c r="B110" s="231" t="s">
        <v>1311</v>
      </c>
    </row>
    <row r="111" spans="1:2">
      <c r="A111" s="230" t="s">
        <v>1312</v>
      </c>
      <c r="B111" s="231" t="s">
        <v>1313</v>
      </c>
    </row>
    <row r="112" spans="1:2">
      <c r="A112" s="230" t="s">
        <v>2076</v>
      </c>
      <c r="B112" s="231" t="s">
        <v>2077</v>
      </c>
    </row>
    <row r="113" spans="1:2">
      <c r="A113" s="230" t="s">
        <v>1314</v>
      </c>
      <c r="B113" s="231" t="s">
        <v>1315</v>
      </c>
    </row>
    <row r="114" spans="1:2">
      <c r="A114" s="230" t="s">
        <v>2078</v>
      </c>
      <c r="B114" s="231" t="s">
        <v>1282</v>
      </c>
    </row>
    <row r="115" spans="1:2">
      <c r="A115" s="230" t="s">
        <v>2079</v>
      </c>
      <c r="B115" s="231" t="s">
        <v>813</v>
      </c>
    </row>
    <row r="116" spans="1:2">
      <c r="A116" s="228" t="s">
        <v>1316</v>
      </c>
      <c r="B116" s="229" t="s">
        <v>1317</v>
      </c>
    </row>
    <row r="117" spans="1:2">
      <c r="A117" s="230" t="s">
        <v>1318</v>
      </c>
      <c r="B117" s="231" t="s">
        <v>1319</v>
      </c>
    </row>
    <row r="118" spans="1:2">
      <c r="A118" s="230" t="s">
        <v>1320</v>
      </c>
      <c r="B118" s="231" t="s">
        <v>1321</v>
      </c>
    </row>
    <row r="119" spans="1:2">
      <c r="A119" s="230" t="s">
        <v>1322</v>
      </c>
      <c r="B119" s="231" t="s">
        <v>1323</v>
      </c>
    </row>
    <row r="120" spans="1:2">
      <c r="A120" s="230" t="s">
        <v>1324</v>
      </c>
      <c r="B120" s="231" t="s">
        <v>1325</v>
      </c>
    </row>
    <row r="121" spans="1:2">
      <c r="A121" s="230" t="s">
        <v>1326</v>
      </c>
      <c r="B121" s="231" t="s">
        <v>1327</v>
      </c>
    </row>
    <row r="122" spans="1:2">
      <c r="A122" s="230" t="s">
        <v>1328</v>
      </c>
      <c r="B122" s="231" t="s">
        <v>1329</v>
      </c>
    </row>
    <row r="123" spans="1:2">
      <c r="A123" s="230" t="s">
        <v>1330</v>
      </c>
      <c r="B123" s="231" t="s">
        <v>1331</v>
      </c>
    </row>
    <row r="124" spans="1:2">
      <c r="A124" s="230" t="s">
        <v>1332</v>
      </c>
      <c r="B124" s="231" t="s">
        <v>1333</v>
      </c>
    </row>
    <row r="125" spans="1:2">
      <c r="A125" s="230" t="s">
        <v>1334</v>
      </c>
      <c r="B125" s="231" t="s">
        <v>1335</v>
      </c>
    </row>
    <row r="126" spans="1:2">
      <c r="A126" s="230" t="s">
        <v>1336</v>
      </c>
      <c r="B126" s="231" t="s">
        <v>1337</v>
      </c>
    </row>
    <row r="127" spans="1:2">
      <c r="A127" s="230" t="s">
        <v>1338</v>
      </c>
      <c r="B127" s="231" t="s">
        <v>1339</v>
      </c>
    </row>
    <row r="128" spans="1:2">
      <c r="A128" s="230" t="s">
        <v>1340</v>
      </c>
      <c r="B128" s="231" t="s">
        <v>1341</v>
      </c>
    </row>
    <row r="129" spans="1:2">
      <c r="A129" s="230" t="s">
        <v>1342</v>
      </c>
      <c r="B129" s="231" t="s">
        <v>1343</v>
      </c>
    </row>
    <row r="130" spans="1:2">
      <c r="A130" s="230" t="s">
        <v>1344</v>
      </c>
      <c r="B130" s="231" t="s">
        <v>1345</v>
      </c>
    </row>
    <row r="131" spans="1:2">
      <c r="A131" s="230" t="s">
        <v>1346</v>
      </c>
      <c r="B131" s="231" t="s">
        <v>1347</v>
      </c>
    </row>
    <row r="132" spans="1:2">
      <c r="A132" s="230" t="s">
        <v>2080</v>
      </c>
      <c r="B132" s="231" t="s">
        <v>2081</v>
      </c>
    </row>
    <row r="133" spans="1:2">
      <c r="A133" s="230" t="s">
        <v>1348</v>
      </c>
      <c r="B133" s="231" t="s">
        <v>1349</v>
      </c>
    </row>
    <row r="134" spans="1:2">
      <c r="A134" s="230" t="s">
        <v>1350</v>
      </c>
      <c r="B134" s="231" t="s">
        <v>1351</v>
      </c>
    </row>
    <row r="135" spans="1:2">
      <c r="A135" s="230" t="s">
        <v>1352</v>
      </c>
      <c r="B135" s="231" t="s">
        <v>813</v>
      </c>
    </row>
    <row r="136" spans="1:2">
      <c r="A136" s="230" t="s">
        <v>1353</v>
      </c>
      <c r="B136" s="231" t="s">
        <v>1354</v>
      </c>
    </row>
    <row r="137" spans="1:2">
      <c r="A137" s="230" t="s">
        <v>1355</v>
      </c>
      <c r="B137" s="231" t="s">
        <v>1356</v>
      </c>
    </row>
    <row r="138" spans="1:2">
      <c r="A138" s="228" t="s">
        <v>1357</v>
      </c>
      <c r="B138" s="229" t="s">
        <v>1358</v>
      </c>
    </row>
    <row r="139" spans="1:2">
      <c r="A139" s="230" t="s">
        <v>1359</v>
      </c>
      <c r="B139" s="231" t="s">
        <v>1360</v>
      </c>
    </row>
    <row r="140" spans="1:2">
      <c r="A140" s="230" t="s">
        <v>1361</v>
      </c>
      <c r="B140" s="231" t="s">
        <v>2082</v>
      </c>
    </row>
    <row r="141" spans="1:2">
      <c r="A141" s="230" t="s">
        <v>1362</v>
      </c>
      <c r="B141" s="231" t="s">
        <v>1363</v>
      </c>
    </row>
    <row r="142" spans="1:2">
      <c r="A142" s="230" t="s">
        <v>1364</v>
      </c>
      <c r="B142" s="231" t="s">
        <v>1365</v>
      </c>
    </row>
    <row r="143" spans="1:2">
      <c r="A143" s="230" t="s">
        <v>1366</v>
      </c>
      <c r="B143" s="231" t="s">
        <v>1367</v>
      </c>
    </row>
    <row r="144" spans="1:2">
      <c r="A144" s="230" t="s">
        <v>1368</v>
      </c>
      <c r="B144" s="231" t="s">
        <v>1369</v>
      </c>
    </row>
    <row r="145" spans="1:2">
      <c r="A145" s="230" t="s">
        <v>1370</v>
      </c>
      <c r="B145" s="231" t="s">
        <v>1371</v>
      </c>
    </row>
    <row r="146" spans="1:2">
      <c r="A146" s="230" t="s">
        <v>1372</v>
      </c>
      <c r="B146" s="231" t="s">
        <v>1373</v>
      </c>
    </row>
    <row r="147" spans="1:2">
      <c r="A147" s="230" t="s">
        <v>1376</v>
      </c>
      <c r="B147" s="231" t="s">
        <v>1377</v>
      </c>
    </row>
    <row r="148" spans="1:2">
      <c r="A148" s="230" t="s">
        <v>1374</v>
      </c>
      <c r="B148" s="231" t="s">
        <v>1375</v>
      </c>
    </row>
    <row r="149" spans="1:2">
      <c r="A149" s="228" t="s">
        <v>1378</v>
      </c>
      <c r="B149" s="229" t="s">
        <v>1379</v>
      </c>
    </row>
    <row r="150" spans="1:2">
      <c r="A150" s="230" t="s">
        <v>1380</v>
      </c>
      <c r="B150" s="231" t="s">
        <v>1381</v>
      </c>
    </row>
    <row r="151" spans="1:2">
      <c r="A151" s="230" t="s">
        <v>1382</v>
      </c>
      <c r="B151" s="231" t="s">
        <v>1383</v>
      </c>
    </row>
    <row r="152" spans="1:2">
      <c r="A152" s="230" t="s">
        <v>1384</v>
      </c>
      <c r="B152" s="231" t="s">
        <v>1385</v>
      </c>
    </row>
    <row r="153" spans="1:2">
      <c r="A153" s="230" t="s">
        <v>1386</v>
      </c>
      <c r="B153" s="231" t="s">
        <v>1387</v>
      </c>
    </row>
    <row r="154" spans="1:2">
      <c r="A154" s="230" t="s">
        <v>1388</v>
      </c>
      <c r="B154" s="231" t="s">
        <v>1389</v>
      </c>
    </row>
    <row r="155" spans="1:2">
      <c r="A155" s="230" t="s">
        <v>1390</v>
      </c>
      <c r="B155" s="231" t="s">
        <v>1391</v>
      </c>
    </row>
    <row r="156" spans="1:2">
      <c r="A156" s="230" t="s">
        <v>1392</v>
      </c>
      <c r="B156" s="231" t="s">
        <v>1393</v>
      </c>
    </row>
    <row r="157" spans="1:2">
      <c r="A157" s="230" t="s">
        <v>1394</v>
      </c>
      <c r="B157" s="231" t="s">
        <v>1395</v>
      </c>
    </row>
    <row r="158" spans="1:2">
      <c r="A158" s="230" t="s">
        <v>1396</v>
      </c>
      <c r="B158" s="231" t="s">
        <v>1397</v>
      </c>
    </row>
    <row r="159" spans="1:2">
      <c r="A159" s="230" t="s">
        <v>1398</v>
      </c>
      <c r="B159" s="231" t="s">
        <v>1399</v>
      </c>
    </row>
    <row r="160" spans="1:2">
      <c r="A160" s="230" t="s">
        <v>1400</v>
      </c>
      <c r="B160" s="231" t="s">
        <v>2083</v>
      </c>
    </row>
    <row r="161" spans="1:2">
      <c r="A161" s="230" t="s">
        <v>1401</v>
      </c>
      <c r="B161" s="231" t="s">
        <v>2084</v>
      </c>
    </row>
    <row r="162" spans="1:2">
      <c r="A162" s="230" t="s">
        <v>1402</v>
      </c>
      <c r="B162" s="231" t="s">
        <v>2085</v>
      </c>
    </row>
    <row r="163" spans="1:2">
      <c r="A163" s="230" t="s">
        <v>1403</v>
      </c>
      <c r="B163" s="231" t="s">
        <v>1404</v>
      </c>
    </row>
    <row r="164" spans="1:2">
      <c r="A164" s="230" t="s">
        <v>1405</v>
      </c>
      <c r="B164" s="231" t="s">
        <v>1406</v>
      </c>
    </row>
    <row r="165" spans="1:2">
      <c r="A165" s="230" t="s">
        <v>1407</v>
      </c>
      <c r="B165" s="231" t="s">
        <v>2086</v>
      </c>
    </row>
    <row r="166" spans="1:2">
      <c r="A166" s="230" t="s">
        <v>1408</v>
      </c>
      <c r="B166" s="231" t="s">
        <v>2087</v>
      </c>
    </row>
    <row r="167" spans="1:2">
      <c r="A167" s="230" t="s">
        <v>1409</v>
      </c>
      <c r="B167" s="231" t="s">
        <v>1410</v>
      </c>
    </row>
    <row r="168" spans="1:2">
      <c r="A168" s="230" t="s">
        <v>1411</v>
      </c>
      <c r="B168" s="231" t="s">
        <v>1412</v>
      </c>
    </row>
    <row r="169" spans="1:2">
      <c r="A169" s="228" t="s">
        <v>1413</v>
      </c>
      <c r="B169" s="229" t="s">
        <v>1414</v>
      </c>
    </row>
    <row r="170" spans="1:2">
      <c r="A170" s="230" t="s">
        <v>1415</v>
      </c>
      <c r="B170" s="231" t="s">
        <v>1416</v>
      </c>
    </row>
    <row r="171" spans="1:2">
      <c r="A171" s="230" t="s">
        <v>1417</v>
      </c>
      <c r="B171" s="231" t="s">
        <v>1418</v>
      </c>
    </row>
    <row r="172" spans="1:2">
      <c r="A172" s="230" t="s">
        <v>1419</v>
      </c>
      <c r="B172" s="231" t="s">
        <v>1420</v>
      </c>
    </row>
    <row r="173" spans="1:2">
      <c r="A173" s="230" t="s">
        <v>1421</v>
      </c>
      <c r="B173" s="231" t="s">
        <v>1422</v>
      </c>
    </row>
    <row r="174" spans="1:2">
      <c r="A174" s="230" t="s">
        <v>1423</v>
      </c>
      <c r="B174" s="231" t="s">
        <v>1424</v>
      </c>
    </row>
    <row r="175" spans="1:2">
      <c r="A175" s="230" t="s">
        <v>1425</v>
      </c>
      <c r="B175" s="231" t="s">
        <v>1426</v>
      </c>
    </row>
    <row r="176" spans="1:2">
      <c r="A176" s="230" t="s">
        <v>1427</v>
      </c>
      <c r="B176" s="231" t="s">
        <v>1428</v>
      </c>
    </row>
    <row r="177" spans="1:2">
      <c r="A177" s="230" t="s">
        <v>1429</v>
      </c>
      <c r="B177" s="231" t="s">
        <v>1430</v>
      </c>
    </row>
    <row r="178" spans="1:2">
      <c r="A178" s="230" t="s">
        <v>1431</v>
      </c>
      <c r="B178" s="231" t="s">
        <v>1432</v>
      </c>
    </row>
    <row r="179" spans="1:2">
      <c r="A179" s="230" t="s">
        <v>1433</v>
      </c>
      <c r="B179" s="231" t="s">
        <v>1434</v>
      </c>
    </row>
    <row r="180" spans="1:2">
      <c r="A180" s="230" t="s">
        <v>1435</v>
      </c>
      <c r="B180" s="231" t="s">
        <v>1436</v>
      </c>
    </row>
    <row r="181" spans="1:2">
      <c r="A181" s="230" t="s">
        <v>1437</v>
      </c>
      <c r="B181" s="231" t="s">
        <v>1438</v>
      </c>
    </row>
    <row r="182" spans="1:2">
      <c r="A182" s="230" t="s">
        <v>1439</v>
      </c>
      <c r="B182" s="231" t="s">
        <v>1440</v>
      </c>
    </row>
    <row r="183" spans="1:2">
      <c r="A183" s="230" t="s">
        <v>1441</v>
      </c>
      <c r="B183" s="231" t="s">
        <v>1442</v>
      </c>
    </row>
    <row r="184" spans="1:2">
      <c r="A184" s="230" t="s">
        <v>1444</v>
      </c>
      <c r="B184" s="231" t="s">
        <v>1445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494"/>
  <sheetViews>
    <sheetView workbookViewId="0">
      <selection activeCell="D60" sqref="D60"/>
    </sheetView>
  </sheetViews>
  <sheetFormatPr defaultRowHeight="15"/>
  <cols>
    <col min="1" max="1" width="22.5703125" customWidth="1"/>
    <col min="2" max="2" width="122.140625" customWidth="1"/>
  </cols>
  <sheetData>
    <row r="1" spans="1:2">
      <c r="A1" s="207" t="s">
        <v>1446</v>
      </c>
      <c r="B1" s="208"/>
    </row>
    <row r="2" spans="1:2">
      <c r="A2" s="207" t="s">
        <v>1195</v>
      </c>
      <c r="B2" s="208" t="s">
        <v>610</v>
      </c>
    </row>
    <row r="3" spans="1:2" hidden="1">
      <c r="A3" s="209" t="s">
        <v>1205</v>
      </c>
      <c r="B3" s="221" t="s">
        <v>1206</v>
      </c>
    </row>
    <row r="4" spans="1:2" hidden="1">
      <c r="A4" s="210" t="s">
        <v>1207</v>
      </c>
      <c r="B4" s="222" t="s">
        <v>1208</v>
      </c>
    </row>
    <row r="5" spans="1:2" hidden="1">
      <c r="A5" s="210" t="s">
        <v>1223</v>
      </c>
      <c r="B5" s="222" t="s">
        <v>815</v>
      </c>
    </row>
    <row r="6" spans="1:2" hidden="1">
      <c r="A6" s="211" t="s">
        <v>1447</v>
      </c>
      <c r="B6" s="212" t="s">
        <v>1448</v>
      </c>
    </row>
    <row r="7" spans="1:2" hidden="1">
      <c r="A7" s="210" t="s">
        <v>1224</v>
      </c>
      <c r="B7" s="222" t="s">
        <v>813</v>
      </c>
    </row>
    <row r="8" spans="1:2" ht="22.5" hidden="1">
      <c r="A8" s="211" t="s">
        <v>1449</v>
      </c>
      <c r="B8" s="212" t="s">
        <v>1450</v>
      </c>
    </row>
    <row r="9" spans="1:2" hidden="1">
      <c r="A9" s="211" t="s">
        <v>1451</v>
      </c>
      <c r="B9" s="212" t="s">
        <v>1452</v>
      </c>
    </row>
    <row r="10" spans="1:2" hidden="1">
      <c r="A10" s="211" t="s">
        <v>1453</v>
      </c>
      <c r="B10" s="212" t="s">
        <v>1454</v>
      </c>
    </row>
    <row r="11" spans="1:2" ht="22.5" hidden="1">
      <c r="A11" s="211" t="s">
        <v>1455</v>
      </c>
      <c r="B11" s="212" t="s">
        <v>1456</v>
      </c>
    </row>
    <row r="12" spans="1:2" hidden="1">
      <c r="A12" s="211" t="s">
        <v>1457</v>
      </c>
      <c r="B12" s="212" t="s">
        <v>1458</v>
      </c>
    </row>
    <row r="13" spans="1:2" hidden="1">
      <c r="A13" s="211" t="s">
        <v>1459</v>
      </c>
      <c r="B13" s="212" t="s">
        <v>1115</v>
      </c>
    </row>
    <row r="14" spans="1:2" hidden="1">
      <c r="A14" s="211" t="s">
        <v>1460</v>
      </c>
      <c r="B14" s="212" t="s">
        <v>1117</v>
      </c>
    </row>
    <row r="15" spans="1:2" hidden="1">
      <c r="A15" s="211" t="s">
        <v>1461</v>
      </c>
      <c r="B15" s="212" t="s">
        <v>1119</v>
      </c>
    </row>
    <row r="16" spans="1:2" hidden="1">
      <c r="A16" s="211" t="s">
        <v>1462</v>
      </c>
      <c r="B16" s="212" t="s">
        <v>1463</v>
      </c>
    </row>
    <row r="17" spans="1:2" hidden="1">
      <c r="A17" s="211" t="s">
        <v>1464</v>
      </c>
      <c r="B17" s="212" t="s">
        <v>1465</v>
      </c>
    </row>
    <row r="18" spans="1:2" hidden="1">
      <c r="A18" s="211" t="s">
        <v>1466</v>
      </c>
      <c r="B18" s="212" t="s">
        <v>1467</v>
      </c>
    </row>
    <row r="19" spans="1:2" hidden="1">
      <c r="A19" s="211" t="s">
        <v>1468</v>
      </c>
      <c r="B19" s="212" t="s">
        <v>1469</v>
      </c>
    </row>
    <row r="20" spans="1:2" hidden="1">
      <c r="A20" s="211" t="s">
        <v>1470</v>
      </c>
      <c r="B20" s="212" t="s">
        <v>1471</v>
      </c>
    </row>
    <row r="21" spans="1:2" hidden="1">
      <c r="A21" s="211" t="s">
        <v>1472</v>
      </c>
      <c r="B21" s="212" t="s">
        <v>1473</v>
      </c>
    </row>
    <row r="22" spans="1:2" hidden="1">
      <c r="A22" s="211" t="s">
        <v>1474</v>
      </c>
      <c r="B22" s="212" t="s">
        <v>1475</v>
      </c>
    </row>
    <row r="23" spans="1:2" hidden="1">
      <c r="A23" s="211" t="s">
        <v>1476</v>
      </c>
      <c r="B23" s="212" t="s">
        <v>1477</v>
      </c>
    </row>
    <row r="24" spans="1:2" hidden="1">
      <c r="A24" s="211" t="s">
        <v>1478</v>
      </c>
      <c r="B24" s="212" t="s">
        <v>1479</v>
      </c>
    </row>
    <row r="25" spans="1:2" hidden="1">
      <c r="A25" s="211" t="s">
        <v>1480</v>
      </c>
      <c r="B25" s="212" t="s">
        <v>1481</v>
      </c>
    </row>
    <row r="26" spans="1:2" hidden="1">
      <c r="A26" s="211" t="s">
        <v>1482</v>
      </c>
      <c r="B26" s="212" t="s">
        <v>1483</v>
      </c>
    </row>
    <row r="27" spans="1:2" hidden="1">
      <c r="A27" s="211" t="s">
        <v>1484</v>
      </c>
      <c r="B27" s="212" t="s">
        <v>1485</v>
      </c>
    </row>
    <row r="28" spans="1:2" hidden="1">
      <c r="A28" s="211" t="s">
        <v>1486</v>
      </c>
      <c r="B28" s="212" t="s">
        <v>1487</v>
      </c>
    </row>
    <row r="29" spans="1:2" hidden="1">
      <c r="A29" s="211" t="s">
        <v>1488</v>
      </c>
      <c r="B29" s="212" t="s">
        <v>1489</v>
      </c>
    </row>
    <row r="30" spans="1:2" hidden="1">
      <c r="A30" s="211" t="s">
        <v>1490</v>
      </c>
      <c r="B30" s="212" t="s">
        <v>1491</v>
      </c>
    </row>
    <row r="31" spans="1:2" hidden="1">
      <c r="A31" s="211" t="s">
        <v>1584</v>
      </c>
      <c r="B31" s="212" t="s">
        <v>1585</v>
      </c>
    </row>
    <row r="32" spans="1:2" hidden="1">
      <c r="A32" s="211" t="s">
        <v>1586</v>
      </c>
      <c r="B32" s="212" t="s">
        <v>1587</v>
      </c>
    </row>
    <row r="33" spans="1:2" hidden="1">
      <c r="A33" s="210" t="s">
        <v>1199</v>
      </c>
      <c r="B33" s="213" t="s">
        <v>1200</v>
      </c>
    </row>
    <row r="34" spans="1:2" hidden="1">
      <c r="A34" s="210" t="s">
        <v>1233</v>
      </c>
      <c r="B34" s="213" t="s">
        <v>811</v>
      </c>
    </row>
    <row r="35" spans="1:2" hidden="1">
      <c r="A35" s="211" t="s">
        <v>1492</v>
      </c>
      <c r="B35" s="212" t="s">
        <v>1493</v>
      </c>
    </row>
    <row r="36" spans="1:2" hidden="1">
      <c r="A36" s="211" t="s">
        <v>1494</v>
      </c>
      <c r="B36" s="212" t="s">
        <v>1495</v>
      </c>
    </row>
    <row r="37" spans="1:2" hidden="1">
      <c r="A37" s="211" t="s">
        <v>1496</v>
      </c>
      <c r="B37" s="212" t="s">
        <v>1497</v>
      </c>
    </row>
    <row r="38" spans="1:2" hidden="1">
      <c r="A38" s="211" t="s">
        <v>1498</v>
      </c>
      <c r="B38" s="212" t="s">
        <v>348</v>
      </c>
    </row>
    <row r="39" spans="1:2" hidden="1">
      <c r="A39" s="211" t="s">
        <v>1499</v>
      </c>
      <c r="B39" s="212" t="s">
        <v>1500</v>
      </c>
    </row>
    <row r="40" spans="1:2" hidden="1">
      <c r="A40" s="211" t="s">
        <v>1501</v>
      </c>
      <c r="B40" s="212" t="s">
        <v>1502</v>
      </c>
    </row>
    <row r="41" spans="1:2" hidden="1">
      <c r="A41" s="211" t="s">
        <v>1503</v>
      </c>
      <c r="B41" s="212" t="s">
        <v>1504</v>
      </c>
    </row>
    <row r="42" spans="1:2" hidden="1">
      <c r="A42" s="211" t="s">
        <v>1505</v>
      </c>
      <c r="B42" s="212" t="s">
        <v>1506</v>
      </c>
    </row>
    <row r="43" spans="1:2" hidden="1">
      <c r="A43" s="211" t="s">
        <v>1507</v>
      </c>
      <c r="B43" s="212" t="s">
        <v>1508</v>
      </c>
    </row>
    <row r="44" spans="1:2">
      <c r="A44" s="209" t="s">
        <v>51</v>
      </c>
      <c r="B44" s="214" t="s">
        <v>52</v>
      </c>
    </row>
    <row r="45" spans="1:2">
      <c r="A45" s="210" t="s">
        <v>49</v>
      </c>
      <c r="B45" s="213" t="s">
        <v>50</v>
      </c>
    </row>
    <row r="46" spans="1:2">
      <c r="A46" s="210" t="s">
        <v>99</v>
      </c>
      <c r="B46" s="213" t="s">
        <v>2308</v>
      </c>
    </row>
    <row r="47" spans="1:2">
      <c r="A47" s="211" t="s">
        <v>828</v>
      </c>
      <c r="B47" s="212" t="s">
        <v>829</v>
      </c>
    </row>
    <row r="48" spans="1:2">
      <c r="A48" s="211" t="s">
        <v>830</v>
      </c>
      <c r="B48" s="212" t="s">
        <v>831</v>
      </c>
    </row>
    <row r="49" spans="1:2">
      <c r="A49" s="211" t="s">
        <v>832</v>
      </c>
      <c r="B49" s="212" t="s">
        <v>833</v>
      </c>
    </row>
    <row r="50" spans="1:2">
      <c r="A50" s="211" t="s">
        <v>834</v>
      </c>
      <c r="B50" s="212" t="s">
        <v>835</v>
      </c>
    </row>
    <row r="51" spans="1:2">
      <c r="A51" s="211" t="s">
        <v>836</v>
      </c>
      <c r="B51" s="212" t="s">
        <v>837</v>
      </c>
    </row>
    <row r="52" spans="1:2">
      <c r="A52" s="211" t="s">
        <v>838</v>
      </c>
      <c r="B52" s="212" t="s">
        <v>839</v>
      </c>
    </row>
    <row r="53" spans="1:2">
      <c r="A53" s="211" t="s">
        <v>840</v>
      </c>
      <c r="B53" s="212" t="s">
        <v>841</v>
      </c>
    </row>
    <row r="54" spans="1:2">
      <c r="A54" s="211" t="s">
        <v>842</v>
      </c>
      <c r="B54" s="212" t="s">
        <v>843</v>
      </c>
    </row>
    <row r="55" spans="1:2">
      <c r="A55" s="211" t="s">
        <v>844</v>
      </c>
      <c r="B55" s="212" t="s">
        <v>845</v>
      </c>
    </row>
    <row r="56" spans="1:2">
      <c r="A56" s="211" t="s">
        <v>1588</v>
      </c>
      <c r="B56" s="212" t="s">
        <v>1589</v>
      </c>
    </row>
    <row r="57" spans="1:2">
      <c r="A57" s="211" t="s">
        <v>1590</v>
      </c>
      <c r="B57" s="212" t="s">
        <v>1591</v>
      </c>
    </row>
    <row r="58" spans="1:2">
      <c r="A58" s="211" t="s">
        <v>1592</v>
      </c>
      <c r="B58" s="212" t="s">
        <v>1593</v>
      </c>
    </row>
    <row r="59" spans="1:2">
      <c r="A59" s="211" t="s">
        <v>1594</v>
      </c>
      <c r="B59" s="212" t="s">
        <v>1595</v>
      </c>
    </row>
    <row r="60" spans="1:2">
      <c r="A60" s="211" t="s">
        <v>1596</v>
      </c>
      <c r="B60" s="212" t="s">
        <v>1597</v>
      </c>
    </row>
    <row r="61" spans="1:2">
      <c r="A61" s="211" t="s">
        <v>1598</v>
      </c>
      <c r="B61" s="212" t="s">
        <v>1599</v>
      </c>
    </row>
    <row r="62" spans="1:2">
      <c r="A62" s="211" t="s">
        <v>1600</v>
      </c>
      <c r="B62" s="212" t="s">
        <v>1601</v>
      </c>
    </row>
    <row r="63" spans="1:2">
      <c r="A63" s="211" t="s">
        <v>1602</v>
      </c>
      <c r="B63" s="212" t="s">
        <v>1603</v>
      </c>
    </row>
    <row r="64" spans="1:2">
      <c r="A64" s="211" t="s">
        <v>1604</v>
      </c>
      <c r="B64" s="212" t="s">
        <v>1605</v>
      </c>
    </row>
    <row r="65" spans="1:2">
      <c r="A65" s="211" t="s">
        <v>1606</v>
      </c>
      <c r="B65" s="212" t="s">
        <v>1607</v>
      </c>
    </row>
    <row r="66" spans="1:2">
      <c r="A66" s="211" t="s">
        <v>1608</v>
      </c>
      <c r="B66" s="212" t="s">
        <v>1609</v>
      </c>
    </row>
    <row r="67" spans="1:2">
      <c r="A67" s="211" t="s">
        <v>1610</v>
      </c>
      <c r="B67" s="212" t="s">
        <v>1611</v>
      </c>
    </row>
    <row r="68" spans="1:2">
      <c r="A68" s="211" t="s">
        <v>1612</v>
      </c>
      <c r="B68" s="212" t="s">
        <v>1613</v>
      </c>
    </row>
    <row r="69" spans="1:2">
      <c r="A69" s="211" t="s">
        <v>1614</v>
      </c>
      <c r="B69" s="212" t="s">
        <v>1615</v>
      </c>
    </row>
    <row r="70" spans="1:2">
      <c r="A70" s="211" t="s">
        <v>1616</v>
      </c>
      <c r="B70" s="212" t="s">
        <v>1617</v>
      </c>
    </row>
    <row r="71" spans="1:2">
      <c r="A71" s="210" t="s">
        <v>124</v>
      </c>
      <c r="B71" s="213" t="s">
        <v>2309</v>
      </c>
    </row>
    <row r="72" spans="1:2">
      <c r="A72" s="211" t="s">
        <v>846</v>
      </c>
      <c r="B72" s="212" t="s">
        <v>847</v>
      </c>
    </row>
    <row r="73" spans="1:2">
      <c r="A73" s="211" t="s">
        <v>848</v>
      </c>
      <c r="B73" s="212" t="s">
        <v>849</v>
      </c>
    </row>
    <row r="74" spans="1:2">
      <c r="A74" s="211" t="s">
        <v>850</v>
      </c>
      <c r="B74" s="212" t="s">
        <v>851</v>
      </c>
    </row>
    <row r="75" spans="1:2">
      <c r="A75" s="211" t="s">
        <v>852</v>
      </c>
      <c r="B75" s="212" t="s">
        <v>853</v>
      </c>
    </row>
    <row r="76" spans="1:2">
      <c r="A76" s="211" t="s">
        <v>854</v>
      </c>
      <c r="B76" s="212" t="s">
        <v>855</v>
      </c>
    </row>
    <row r="77" spans="1:2">
      <c r="A77" s="211" t="s">
        <v>856</v>
      </c>
      <c r="B77" s="212" t="s">
        <v>857</v>
      </c>
    </row>
    <row r="78" spans="1:2">
      <c r="A78" s="211" t="s">
        <v>858</v>
      </c>
      <c r="B78" s="212" t="s">
        <v>859</v>
      </c>
    </row>
    <row r="79" spans="1:2">
      <c r="A79" s="211" t="s">
        <v>860</v>
      </c>
      <c r="B79" s="212" t="s">
        <v>861</v>
      </c>
    </row>
    <row r="80" spans="1:2">
      <c r="A80" s="211" t="s">
        <v>862</v>
      </c>
      <c r="B80" s="212" t="s">
        <v>863</v>
      </c>
    </row>
    <row r="81" spans="1:2">
      <c r="A81" s="211" t="s">
        <v>864</v>
      </c>
      <c r="B81" s="212" t="s">
        <v>865</v>
      </c>
    </row>
    <row r="82" spans="1:2">
      <c r="A82" s="211" t="s">
        <v>866</v>
      </c>
      <c r="B82" s="212" t="s">
        <v>867</v>
      </c>
    </row>
    <row r="83" spans="1:2">
      <c r="A83" s="211" t="s">
        <v>868</v>
      </c>
      <c r="B83" s="212" t="s">
        <v>869</v>
      </c>
    </row>
    <row r="84" spans="1:2">
      <c r="A84" s="211" t="s">
        <v>870</v>
      </c>
      <c r="B84" s="212" t="s">
        <v>871</v>
      </c>
    </row>
    <row r="85" spans="1:2">
      <c r="A85" s="211" t="s">
        <v>872</v>
      </c>
      <c r="B85" s="212" t="s">
        <v>873</v>
      </c>
    </row>
    <row r="86" spans="1:2">
      <c r="A86" s="211" t="s">
        <v>874</v>
      </c>
      <c r="B86" s="212" t="s">
        <v>875</v>
      </c>
    </row>
    <row r="87" spans="1:2">
      <c r="A87" s="211" t="s">
        <v>876</v>
      </c>
      <c r="B87" s="212" t="s">
        <v>877</v>
      </c>
    </row>
    <row r="88" spans="1:2">
      <c r="A88" s="211" t="s">
        <v>878</v>
      </c>
      <c r="B88" s="212" t="s">
        <v>879</v>
      </c>
    </row>
    <row r="89" spans="1:2">
      <c r="A89" s="211" t="s">
        <v>880</v>
      </c>
      <c r="B89" s="212" t="s">
        <v>881</v>
      </c>
    </row>
    <row r="90" spans="1:2">
      <c r="A90" s="211" t="s">
        <v>882</v>
      </c>
      <c r="B90" s="212" t="s">
        <v>883</v>
      </c>
    </row>
    <row r="91" spans="1:2">
      <c r="A91" s="211" t="s">
        <v>884</v>
      </c>
      <c r="B91" s="212" t="s">
        <v>885</v>
      </c>
    </row>
    <row r="92" spans="1:2">
      <c r="A92" s="211" t="s">
        <v>886</v>
      </c>
      <c r="B92" s="212" t="s">
        <v>887</v>
      </c>
    </row>
    <row r="93" spans="1:2">
      <c r="A93" s="211" t="s">
        <v>888</v>
      </c>
      <c r="B93" s="212" t="s">
        <v>889</v>
      </c>
    </row>
    <row r="94" spans="1:2">
      <c r="A94" s="211" t="s">
        <v>890</v>
      </c>
      <c r="B94" s="212" t="s">
        <v>891</v>
      </c>
    </row>
    <row r="95" spans="1:2">
      <c r="A95" s="211" t="s">
        <v>1618</v>
      </c>
      <c r="B95" s="212" t="s">
        <v>1619</v>
      </c>
    </row>
    <row r="96" spans="1:2">
      <c r="A96" s="211" t="s">
        <v>1620</v>
      </c>
      <c r="B96" s="212" t="s">
        <v>1621</v>
      </c>
    </row>
    <row r="97" spans="1:2">
      <c r="A97" s="211" t="s">
        <v>1622</v>
      </c>
      <c r="B97" s="212" t="s">
        <v>1623</v>
      </c>
    </row>
    <row r="98" spans="1:2">
      <c r="A98" s="211" t="s">
        <v>1624</v>
      </c>
      <c r="B98" s="212" t="s">
        <v>1625</v>
      </c>
    </row>
    <row r="99" spans="1:2">
      <c r="A99" s="211" t="s">
        <v>1626</v>
      </c>
      <c r="B99" s="212" t="s">
        <v>1627</v>
      </c>
    </row>
    <row r="100" spans="1:2">
      <c r="A100" s="211" t="s">
        <v>1628</v>
      </c>
      <c r="B100" s="212" t="s">
        <v>1629</v>
      </c>
    </row>
    <row r="101" spans="1:2">
      <c r="A101" s="211" t="s">
        <v>1630</v>
      </c>
      <c r="B101" s="212" t="s">
        <v>1631</v>
      </c>
    </row>
    <row r="102" spans="1:2">
      <c r="A102" s="211" t="s">
        <v>1632</v>
      </c>
      <c r="B102" s="212" t="s">
        <v>1633</v>
      </c>
    </row>
    <row r="103" spans="1:2">
      <c r="A103" s="211" t="s">
        <v>1634</v>
      </c>
      <c r="B103" s="212" t="s">
        <v>1635</v>
      </c>
    </row>
    <row r="104" spans="1:2">
      <c r="A104" s="211" t="s">
        <v>1636</v>
      </c>
      <c r="B104" s="212" t="s">
        <v>1637</v>
      </c>
    </row>
    <row r="105" spans="1:2">
      <c r="A105" s="211" t="s">
        <v>1638</v>
      </c>
      <c r="B105" s="212" t="s">
        <v>1639</v>
      </c>
    </row>
    <row r="106" spans="1:2">
      <c r="A106" s="211" t="s">
        <v>1640</v>
      </c>
      <c r="B106" s="212" t="s">
        <v>1641</v>
      </c>
    </row>
    <row r="107" spans="1:2">
      <c r="A107" s="211" t="s">
        <v>1642</v>
      </c>
      <c r="B107" s="212" t="s">
        <v>1643</v>
      </c>
    </row>
    <row r="108" spans="1:2">
      <c r="A108" s="211" t="s">
        <v>1644</v>
      </c>
      <c r="B108" s="212" t="s">
        <v>1645</v>
      </c>
    </row>
    <row r="109" spans="1:2">
      <c r="A109" s="211" t="s">
        <v>1646</v>
      </c>
      <c r="B109" s="212" t="s">
        <v>1647</v>
      </c>
    </row>
    <row r="110" spans="1:2">
      <c r="A110" s="211" t="s">
        <v>1648</v>
      </c>
      <c r="B110" s="212" t="s">
        <v>1649</v>
      </c>
    </row>
    <row r="111" spans="1:2">
      <c r="A111" s="211" t="s">
        <v>1650</v>
      </c>
      <c r="B111" s="212" t="s">
        <v>1651</v>
      </c>
    </row>
    <row r="112" spans="1:2">
      <c r="A112" s="211" t="s">
        <v>1652</v>
      </c>
      <c r="B112" s="212" t="s">
        <v>1653</v>
      </c>
    </row>
    <row r="113" spans="1:2">
      <c r="A113" s="211" t="s">
        <v>1654</v>
      </c>
      <c r="B113" s="212" t="s">
        <v>1655</v>
      </c>
    </row>
    <row r="114" spans="1:2">
      <c r="A114" s="211" t="s">
        <v>1656</v>
      </c>
      <c r="B114" s="212" t="s">
        <v>1657</v>
      </c>
    </row>
    <row r="115" spans="1:2">
      <c r="A115" s="211" t="s">
        <v>1658</v>
      </c>
      <c r="B115" s="212" t="s">
        <v>1659</v>
      </c>
    </row>
    <row r="116" spans="1:2">
      <c r="A116" s="211" t="s">
        <v>1660</v>
      </c>
      <c r="B116" s="212" t="s">
        <v>1661</v>
      </c>
    </row>
    <row r="117" spans="1:2">
      <c r="A117" s="211" t="s">
        <v>1662</v>
      </c>
      <c r="B117" s="212" t="s">
        <v>1663</v>
      </c>
    </row>
    <row r="118" spans="1:2">
      <c r="A118" s="211" t="s">
        <v>1664</v>
      </c>
      <c r="B118" s="212" t="s">
        <v>1665</v>
      </c>
    </row>
    <row r="119" spans="1:2">
      <c r="A119" s="211" t="s">
        <v>1666</v>
      </c>
      <c r="B119" s="212" t="s">
        <v>1667</v>
      </c>
    </row>
    <row r="120" spans="1:2">
      <c r="A120" s="211" t="s">
        <v>1668</v>
      </c>
      <c r="B120" s="212" t="s">
        <v>1669</v>
      </c>
    </row>
    <row r="121" spans="1:2">
      <c r="A121" s="211" t="s">
        <v>1670</v>
      </c>
      <c r="B121" s="212" t="s">
        <v>1671</v>
      </c>
    </row>
    <row r="122" spans="1:2">
      <c r="A122" s="211" t="s">
        <v>1672</v>
      </c>
      <c r="B122" s="212" t="s">
        <v>1673</v>
      </c>
    </row>
    <row r="123" spans="1:2">
      <c r="A123" s="211" t="s">
        <v>1674</v>
      </c>
      <c r="B123" s="212" t="s">
        <v>1675</v>
      </c>
    </row>
    <row r="124" spans="1:2">
      <c r="A124" s="211" t="s">
        <v>1676</v>
      </c>
      <c r="B124" s="212" t="s">
        <v>1677</v>
      </c>
    </row>
    <row r="125" spans="1:2">
      <c r="A125" s="211" t="s">
        <v>1678</v>
      </c>
      <c r="B125" s="212" t="s">
        <v>1679</v>
      </c>
    </row>
    <row r="126" spans="1:2">
      <c r="A126" s="211" t="s">
        <v>1680</v>
      </c>
      <c r="B126" s="212" t="s">
        <v>1681</v>
      </c>
    </row>
    <row r="127" spans="1:2">
      <c r="A127" s="211" t="s">
        <v>1682</v>
      </c>
      <c r="B127" s="212" t="s">
        <v>1683</v>
      </c>
    </row>
    <row r="128" spans="1:2">
      <c r="A128" s="211" t="s">
        <v>1684</v>
      </c>
      <c r="B128" s="212" t="s">
        <v>1685</v>
      </c>
    </row>
    <row r="129" spans="1:2">
      <c r="A129" s="211" t="s">
        <v>1686</v>
      </c>
      <c r="B129" s="212" t="s">
        <v>1687</v>
      </c>
    </row>
    <row r="130" spans="1:2">
      <c r="A130" s="211" t="s">
        <v>1688</v>
      </c>
      <c r="B130" s="212" t="s">
        <v>1689</v>
      </c>
    </row>
    <row r="131" spans="1:2">
      <c r="A131" s="211" t="s">
        <v>1690</v>
      </c>
      <c r="B131" s="212" t="s">
        <v>1691</v>
      </c>
    </row>
    <row r="132" spans="1:2">
      <c r="A132" s="211" t="s">
        <v>1692</v>
      </c>
      <c r="B132" s="212" t="s">
        <v>1693</v>
      </c>
    </row>
    <row r="133" spans="1:2">
      <c r="A133" s="211" t="s">
        <v>1694</v>
      </c>
      <c r="B133" s="212" t="s">
        <v>1695</v>
      </c>
    </row>
    <row r="134" spans="1:2">
      <c r="A134" s="211" t="s">
        <v>1696</v>
      </c>
      <c r="B134" s="212" t="s">
        <v>1697</v>
      </c>
    </row>
    <row r="135" spans="1:2">
      <c r="A135" s="211" t="s">
        <v>1698</v>
      </c>
      <c r="B135" s="212" t="s">
        <v>1699</v>
      </c>
    </row>
    <row r="136" spans="1:2">
      <c r="A136" s="211" t="s">
        <v>1700</v>
      </c>
      <c r="B136" s="212" t="s">
        <v>1701</v>
      </c>
    </row>
    <row r="137" spans="1:2">
      <c r="A137" s="210" t="s">
        <v>131</v>
      </c>
      <c r="B137" s="213" t="s">
        <v>2310</v>
      </c>
    </row>
    <row r="138" spans="1:2">
      <c r="A138" s="211" t="s">
        <v>892</v>
      </c>
      <c r="B138" s="212" t="s">
        <v>893</v>
      </c>
    </row>
    <row r="139" spans="1:2">
      <c r="A139" s="211" t="s">
        <v>894</v>
      </c>
      <c r="B139" s="212" t="s">
        <v>895</v>
      </c>
    </row>
    <row r="140" spans="1:2">
      <c r="A140" s="211" t="s">
        <v>896</v>
      </c>
      <c r="B140" s="212" t="s">
        <v>897</v>
      </c>
    </row>
    <row r="141" spans="1:2">
      <c r="A141" s="211" t="s">
        <v>898</v>
      </c>
      <c r="B141" s="212" t="s">
        <v>899</v>
      </c>
    </row>
    <row r="142" spans="1:2">
      <c r="A142" s="211" t="s">
        <v>900</v>
      </c>
      <c r="B142" s="212" t="s">
        <v>901</v>
      </c>
    </row>
    <row r="143" spans="1:2">
      <c r="A143" s="211" t="s">
        <v>902</v>
      </c>
      <c r="B143" s="212" t="s">
        <v>903</v>
      </c>
    </row>
    <row r="144" spans="1:2">
      <c r="A144" s="211" t="s">
        <v>904</v>
      </c>
      <c r="B144" s="212" t="s">
        <v>905</v>
      </c>
    </row>
    <row r="145" spans="1:2">
      <c r="A145" s="211" t="s">
        <v>906</v>
      </c>
      <c r="B145" s="212" t="s">
        <v>907</v>
      </c>
    </row>
    <row r="146" spans="1:2">
      <c r="A146" s="211" t="s">
        <v>1702</v>
      </c>
      <c r="B146" s="212" t="s">
        <v>1703</v>
      </c>
    </row>
    <row r="147" spans="1:2">
      <c r="A147" s="211" t="s">
        <v>1704</v>
      </c>
      <c r="B147" s="212" t="s">
        <v>1705</v>
      </c>
    </row>
    <row r="148" spans="1:2">
      <c r="A148" s="211" t="s">
        <v>1706</v>
      </c>
      <c r="B148" s="212" t="s">
        <v>1707</v>
      </c>
    </row>
    <row r="149" spans="1:2">
      <c r="A149" s="211" t="s">
        <v>1708</v>
      </c>
      <c r="B149" s="212" t="s">
        <v>1709</v>
      </c>
    </row>
    <row r="150" spans="1:2">
      <c r="A150" s="211" t="s">
        <v>1710</v>
      </c>
      <c r="B150" s="212" t="s">
        <v>1711</v>
      </c>
    </row>
    <row r="151" spans="1:2">
      <c r="A151" s="210" t="s">
        <v>137</v>
      </c>
      <c r="B151" s="213" t="s">
        <v>2311</v>
      </c>
    </row>
    <row r="152" spans="1:2">
      <c r="A152" s="211" t="s">
        <v>908</v>
      </c>
      <c r="B152" s="212" t="s">
        <v>909</v>
      </c>
    </row>
    <row r="153" spans="1:2">
      <c r="A153" s="211" t="s">
        <v>910</v>
      </c>
      <c r="B153" s="212" t="s">
        <v>911</v>
      </c>
    </row>
    <row r="154" spans="1:2">
      <c r="A154" s="211" t="s">
        <v>912</v>
      </c>
      <c r="B154" s="212" t="s">
        <v>913</v>
      </c>
    </row>
    <row r="155" spans="1:2">
      <c r="A155" s="211" t="s">
        <v>914</v>
      </c>
      <c r="B155" s="212" t="s">
        <v>915</v>
      </c>
    </row>
    <row r="156" spans="1:2">
      <c r="A156" s="211" t="s">
        <v>916</v>
      </c>
      <c r="B156" s="212" t="s">
        <v>917</v>
      </c>
    </row>
    <row r="157" spans="1:2">
      <c r="A157" s="211" t="s">
        <v>918</v>
      </c>
      <c r="B157" s="212" t="s">
        <v>919</v>
      </c>
    </row>
    <row r="158" spans="1:2">
      <c r="A158" s="211" t="s">
        <v>920</v>
      </c>
      <c r="B158" s="212" t="s">
        <v>921</v>
      </c>
    </row>
    <row r="159" spans="1:2">
      <c r="A159" s="211" t="s">
        <v>922</v>
      </c>
      <c r="B159" s="212" t="s">
        <v>923</v>
      </c>
    </row>
    <row r="160" spans="1:2">
      <c r="A160" s="211" t="s">
        <v>1712</v>
      </c>
      <c r="B160" s="212" t="s">
        <v>1713</v>
      </c>
    </row>
    <row r="161" spans="1:2">
      <c r="A161" s="211" t="s">
        <v>1714</v>
      </c>
      <c r="B161" s="212" t="s">
        <v>1715</v>
      </c>
    </row>
    <row r="162" spans="1:2">
      <c r="A162" s="210" t="s">
        <v>139</v>
      </c>
      <c r="B162" s="213" t="s">
        <v>2312</v>
      </c>
    </row>
    <row r="163" spans="1:2">
      <c r="A163" s="211" t="s">
        <v>924</v>
      </c>
      <c r="B163" s="212" t="s">
        <v>925</v>
      </c>
    </row>
    <row r="164" spans="1:2">
      <c r="A164" s="211" t="s">
        <v>926</v>
      </c>
      <c r="B164" s="212" t="s">
        <v>927</v>
      </c>
    </row>
    <row r="165" spans="1:2">
      <c r="A165" s="211" t="s">
        <v>928</v>
      </c>
      <c r="B165" s="212" t="s">
        <v>929</v>
      </c>
    </row>
    <row r="166" spans="1:2">
      <c r="A166" s="210" t="s">
        <v>141</v>
      </c>
      <c r="B166" s="213" t="s">
        <v>2313</v>
      </c>
    </row>
    <row r="167" spans="1:2">
      <c r="A167" s="211" t="s">
        <v>930</v>
      </c>
      <c r="B167" s="212" t="s">
        <v>931</v>
      </c>
    </row>
    <row r="168" spans="1:2">
      <c r="A168" s="211" t="s">
        <v>932</v>
      </c>
      <c r="B168" s="212" t="s">
        <v>933</v>
      </c>
    </row>
    <row r="169" spans="1:2">
      <c r="A169" s="211" t="s">
        <v>934</v>
      </c>
      <c r="B169" s="212" t="s">
        <v>935</v>
      </c>
    </row>
    <row r="170" spans="1:2">
      <c r="A170" s="211" t="s">
        <v>936</v>
      </c>
      <c r="B170" s="212" t="s">
        <v>937</v>
      </c>
    </row>
    <row r="171" spans="1:2">
      <c r="A171" s="211" t="s">
        <v>938</v>
      </c>
      <c r="B171" s="212" t="s">
        <v>939</v>
      </c>
    </row>
    <row r="172" spans="1:2">
      <c r="A172" s="211" t="s">
        <v>940</v>
      </c>
      <c r="B172" s="212" t="s">
        <v>941</v>
      </c>
    </row>
    <row r="173" spans="1:2">
      <c r="A173" s="211" t="s">
        <v>942</v>
      </c>
      <c r="B173" s="212" t="s">
        <v>943</v>
      </c>
    </row>
    <row r="174" spans="1:2">
      <c r="A174" s="211" t="s">
        <v>944</v>
      </c>
      <c r="B174" s="212" t="s">
        <v>945</v>
      </c>
    </row>
    <row r="175" spans="1:2">
      <c r="A175" s="211" t="s">
        <v>946</v>
      </c>
      <c r="B175" s="212" t="s">
        <v>947</v>
      </c>
    </row>
    <row r="176" spans="1:2">
      <c r="A176" s="211" t="s">
        <v>948</v>
      </c>
      <c r="B176" s="212" t="s">
        <v>949</v>
      </c>
    </row>
    <row r="177" spans="1:2">
      <c r="A177" s="211" t="s">
        <v>950</v>
      </c>
      <c r="B177" s="212" t="s">
        <v>951</v>
      </c>
    </row>
    <row r="178" spans="1:2" ht="22.5">
      <c r="A178" s="211" t="s">
        <v>952</v>
      </c>
      <c r="B178" s="212" t="s">
        <v>953</v>
      </c>
    </row>
    <row r="179" spans="1:2">
      <c r="A179" s="211" t="s">
        <v>954</v>
      </c>
      <c r="B179" s="212" t="s">
        <v>955</v>
      </c>
    </row>
    <row r="180" spans="1:2">
      <c r="A180" s="211" t="s">
        <v>956</v>
      </c>
      <c r="B180" s="212" t="s">
        <v>957</v>
      </c>
    </row>
    <row r="181" spans="1:2">
      <c r="A181" s="211" t="s">
        <v>958</v>
      </c>
      <c r="B181" s="212" t="s">
        <v>959</v>
      </c>
    </row>
    <row r="182" spans="1:2">
      <c r="A182" s="211" t="s">
        <v>960</v>
      </c>
      <c r="B182" s="212" t="s">
        <v>961</v>
      </c>
    </row>
    <row r="183" spans="1:2">
      <c r="A183" s="211" t="s">
        <v>962</v>
      </c>
      <c r="B183" s="212" t="s">
        <v>963</v>
      </c>
    </row>
    <row r="184" spans="1:2">
      <c r="A184" s="211" t="s">
        <v>964</v>
      </c>
      <c r="B184" s="212" t="s">
        <v>965</v>
      </c>
    </row>
    <row r="185" spans="1:2">
      <c r="A185" s="211" t="s">
        <v>966</v>
      </c>
      <c r="B185" s="212" t="s">
        <v>967</v>
      </c>
    </row>
    <row r="186" spans="1:2">
      <c r="A186" s="211" t="s">
        <v>968</v>
      </c>
      <c r="B186" s="212" t="s">
        <v>969</v>
      </c>
    </row>
    <row r="187" spans="1:2">
      <c r="A187" s="211" t="s">
        <v>970</v>
      </c>
      <c r="B187" s="212" t="s">
        <v>971</v>
      </c>
    </row>
    <row r="188" spans="1:2">
      <c r="A188" s="211" t="s">
        <v>972</v>
      </c>
      <c r="B188" s="212" t="s">
        <v>973</v>
      </c>
    </row>
    <row r="189" spans="1:2">
      <c r="A189" s="211" t="s">
        <v>974</v>
      </c>
      <c r="B189" s="212" t="s">
        <v>975</v>
      </c>
    </row>
    <row r="190" spans="1:2">
      <c r="A190" s="211" t="s">
        <v>976</v>
      </c>
      <c r="B190" s="212" t="s">
        <v>977</v>
      </c>
    </row>
    <row r="191" spans="1:2">
      <c r="A191" s="211" t="s">
        <v>978</v>
      </c>
      <c r="B191" s="212" t="s">
        <v>979</v>
      </c>
    </row>
    <row r="192" spans="1:2">
      <c r="A192" s="211" t="s">
        <v>980</v>
      </c>
      <c r="B192" s="212" t="s">
        <v>981</v>
      </c>
    </row>
    <row r="193" spans="1:2">
      <c r="A193" s="211" t="s">
        <v>982</v>
      </c>
      <c r="B193" s="212" t="s">
        <v>983</v>
      </c>
    </row>
    <row r="194" spans="1:2">
      <c r="A194" s="211" t="s">
        <v>984</v>
      </c>
      <c r="B194" s="212" t="s">
        <v>985</v>
      </c>
    </row>
    <row r="195" spans="1:2">
      <c r="A195" s="211" t="s">
        <v>986</v>
      </c>
      <c r="B195" s="212" t="s">
        <v>985</v>
      </c>
    </row>
    <row r="196" spans="1:2">
      <c r="A196" s="211" t="s">
        <v>987</v>
      </c>
      <c r="B196" s="212" t="s">
        <v>988</v>
      </c>
    </row>
    <row r="197" spans="1:2">
      <c r="A197" s="211" t="s">
        <v>989</v>
      </c>
      <c r="B197" s="212" t="s">
        <v>990</v>
      </c>
    </row>
    <row r="198" spans="1:2">
      <c r="A198" s="211" t="s">
        <v>991</v>
      </c>
      <c r="B198" s="212" t="s">
        <v>988</v>
      </c>
    </row>
    <row r="199" spans="1:2">
      <c r="A199" s="211" t="s">
        <v>1716</v>
      </c>
      <c r="B199" s="212"/>
    </row>
    <row r="200" spans="1:2">
      <c r="A200" s="211" t="s">
        <v>1717</v>
      </c>
      <c r="B200" s="212" t="s">
        <v>1718</v>
      </c>
    </row>
    <row r="201" spans="1:2">
      <c r="A201" s="211" t="s">
        <v>1719</v>
      </c>
      <c r="B201" s="212" t="s">
        <v>1720</v>
      </c>
    </row>
    <row r="202" spans="1:2">
      <c r="A202" s="211" t="s">
        <v>1721</v>
      </c>
      <c r="B202" s="212" t="s">
        <v>1722</v>
      </c>
    </row>
    <row r="203" spans="1:2" ht="22.5">
      <c r="A203" s="211" t="s">
        <v>1723</v>
      </c>
      <c r="B203" s="212" t="s">
        <v>1724</v>
      </c>
    </row>
    <row r="204" spans="1:2">
      <c r="A204" s="211" t="s">
        <v>1725</v>
      </c>
      <c r="B204" s="212" t="s">
        <v>1726</v>
      </c>
    </row>
    <row r="205" spans="1:2">
      <c r="A205" s="211" t="s">
        <v>1727</v>
      </c>
      <c r="B205" s="212" t="s">
        <v>1728</v>
      </c>
    </row>
    <row r="206" spans="1:2">
      <c r="A206" s="211" t="s">
        <v>1729</v>
      </c>
      <c r="B206" s="212" t="s">
        <v>1730</v>
      </c>
    </row>
    <row r="207" spans="1:2">
      <c r="A207" s="211" t="s">
        <v>1731</v>
      </c>
      <c r="B207" s="212" t="s">
        <v>1732</v>
      </c>
    </row>
    <row r="208" spans="1:2">
      <c r="A208" s="211" t="s">
        <v>1733</v>
      </c>
      <c r="B208" s="212" t="s">
        <v>1734</v>
      </c>
    </row>
    <row r="209" spans="1:2">
      <c r="A209" s="211" t="s">
        <v>1735</v>
      </c>
      <c r="B209" s="212" t="s">
        <v>1736</v>
      </c>
    </row>
    <row r="210" spans="1:2">
      <c r="A210" s="211" t="s">
        <v>1737</v>
      </c>
      <c r="B210" s="212" t="s">
        <v>1738</v>
      </c>
    </row>
    <row r="211" spans="1:2">
      <c r="A211" s="211" t="s">
        <v>1739</v>
      </c>
      <c r="B211" s="212" t="s">
        <v>1740</v>
      </c>
    </row>
    <row r="212" spans="1:2">
      <c r="A212" s="211" t="s">
        <v>1741</v>
      </c>
      <c r="B212" s="212" t="s">
        <v>1742</v>
      </c>
    </row>
    <row r="213" spans="1:2">
      <c r="A213" s="211" t="s">
        <v>1743</v>
      </c>
      <c r="B213" s="212" t="s">
        <v>1744</v>
      </c>
    </row>
    <row r="214" spans="1:2">
      <c r="A214" s="211" t="s">
        <v>1745</v>
      </c>
      <c r="B214" s="212" t="s">
        <v>1746</v>
      </c>
    </row>
    <row r="215" spans="1:2">
      <c r="A215" s="211" t="s">
        <v>1747</v>
      </c>
      <c r="B215" s="212" t="s">
        <v>1748</v>
      </c>
    </row>
    <row r="216" spans="1:2">
      <c r="A216" s="211" t="s">
        <v>1749</v>
      </c>
      <c r="B216" s="212" t="s">
        <v>1750</v>
      </c>
    </row>
    <row r="217" spans="1:2">
      <c r="A217" s="211" t="s">
        <v>1751</v>
      </c>
      <c r="B217" s="212" t="s">
        <v>1752</v>
      </c>
    </row>
    <row r="218" spans="1:2">
      <c r="A218" s="211" t="s">
        <v>1753</v>
      </c>
      <c r="B218" s="212" t="s">
        <v>1754</v>
      </c>
    </row>
    <row r="219" spans="1:2">
      <c r="A219" s="211" t="s">
        <v>1755</v>
      </c>
      <c r="B219" s="212" t="s">
        <v>1756</v>
      </c>
    </row>
    <row r="220" spans="1:2">
      <c r="A220" s="211" t="s">
        <v>1757</v>
      </c>
      <c r="B220" s="212" t="s">
        <v>1758</v>
      </c>
    </row>
    <row r="221" spans="1:2">
      <c r="A221" s="211" t="s">
        <v>1759</v>
      </c>
      <c r="B221" s="212" t="s">
        <v>1760</v>
      </c>
    </row>
    <row r="222" spans="1:2">
      <c r="A222" s="211" t="s">
        <v>1761</v>
      </c>
      <c r="B222" s="212" t="s">
        <v>1762</v>
      </c>
    </row>
    <row r="223" spans="1:2">
      <c r="A223" s="211" t="s">
        <v>1763</v>
      </c>
      <c r="B223" s="212" t="s">
        <v>1764</v>
      </c>
    </row>
    <row r="224" spans="1:2">
      <c r="A224" s="211" t="s">
        <v>1765</v>
      </c>
      <c r="B224" s="212" t="s">
        <v>1766</v>
      </c>
    </row>
    <row r="225" spans="1:2">
      <c r="A225" s="211" t="s">
        <v>1767</v>
      </c>
      <c r="B225" s="212" t="s">
        <v>1768</v>
      </c>
    </row>
    <row r="226" spans="1:2">
      <c r="A226" s="211" t="s">
        <v>1769</v>
      </c>
      <c r="B226" s="212" t="s">
        <v>1770</v>
      </c>
    </row>
    <row r="227" spans="1:2">
      <c r="A227" s="211" t="s">
        <v>1771</v>
      </c>
      <c r="B227" s="212" t="s">
        <v>1772</v>
      </c>
    </row>
    <row r="228" spans="1:2">
      <c r="A228" s="211" t="s">
        <v>1773</v>
      </c>
      <c r="B228" s="212" t="s">
        <v>1774</v>
      </c>
    </row>
    <row r="229" spans="1:2">
      <c r="A229" s="211" t="s">
        <v>1775</v>
      </c>
      <c r="B229" s="212" t="s">
        <v>1776</v>
      </c>
    </row>
    <row r="230" spans="1:2">
      <c r="A230" s="211" t="s">
        <v>1777</v>
      </c>
      <c r="B230" s="212" t="s">
        <v>1778</v>
      </c>
    </row>
    <row r="231" spans="1:2">
      <c r="A231" s="210" t="s">
        <v>145</v>
      </c>
      <c r="B231" s="213" t="s">
        <v>2314</v>
      </c>
    </row>
    <row r="232" spans="1:2">
      <c r="A232" s="211" t="s">
        <v>992</v>
      </c>
      <c r="B232" s="212" t="s">
        <v>993</v>
      </c>
    </row>
    <row r="233" spans="1:2">
      <c r="A233" s="211" t="s">
        <v>994</v>
      </c>
      <c r="B233" s="212" t="s">
        <v>995</v>
      </c>
    </row>
    <row r="234" spans="1:2">
      <c r="A234" s="211" t="s">
        <v>996</v>
      </c>
      <c r="B234" s="212" t="s">
        <v>997</v>
      </c>
    </row>
    <row r="235" spans="1:2">
      <c r="A235" s="211" t="s">
        <v>998</v>
      </c>
      <c r="B235" s="212" t="s">
        <v>999</v>
      </c>
    </row>
    <row r="236" spans="1:2">
      <c r="A236" s="211" t="s">
        <v>1000</v>
      </c>
      <c r="B236" s="212" t="s">
        <v>1001</v>
      </c>
    </row>
    <row r="237" spans="1:2">
      <c r="A237" s="211" t="s">
        <v>1002</v>
      </c>
      <c r="B237" s="212" t="s">
        <v>1003</v>
      </c>
    </row>
    <row r="238" spans="1:2">
      <c r="A238" s="211" t="s">
        <v>1004</v>
      </c>
      <c r="B238" s="212" t="s">
        <v>1005</v>
      </c>
    </row>
    <row r="239" spans="1:2">
      <c r="A239" s="211" t="s">
        <v>1006</v>
      </c>
      <c r="B239" s="212" t="s">
        <v>1007</v>
      </c>
    </row>
    <row r="240" spans="1:2">
      <c r="A240" s="211" t="s">
        <v>1008</v>
      </c>
      <c r="B240" s="212" t="s">
        <v>1009</v>
      </c>
    </row>
    <row r="241" spans="1:2">
      <c r="A241" s="211" t="s">
        <v>1010</v>
      </c>
      <c r="B241" s="212" t="s">
        <v>1011</v>
      </c>
    </row>
    <row r="242" spans="1:2">
      <c r="A242" s="211" t="s">
        <v>1012</v>
      </c>
      <c r="B242" s="212" t="s">
        <v>1013</v>
      </c>
    </row>
    <row r="243" spans="1:2">
      <c r="A243" s="211" t="s">
        <v>1014</v>
      </c>
      <c r="B243" s="212" t="s">
        <v>1015</v>
      </c>
    </row>
    <row r="244" spans="1:2">
      <c r="A244" s="211" t="s">
        <v>1016</v>
      </c>
      <c r="B244" s="212" t="s">
        <v>1017</v>
      </c>
    </row>
    <row r="245" spans="1:2">
      <c r="A245" s="211" t="s">
        <v>1018</v>
      </c>
      <c r="B245" s="212" t="s">
        <v>1019</v>
      </c>
    </row>
    <row r="246" spans="1:2">
      <c r="A246" s="211" t="s">
        <v>1020</v>
      </c>
      <c r="B246" s="212" t="s">
        <v>1021</v>
      </c>
    </row>
    <row r="247" spans="1:2">
      <c r="A247" s="211" t="s">
        <v>1022</v>
      </c>
      <c r="B247" s="212" t="s">
        <v>1023</v>
      </c>
    </row>
    <row r="248" spans="1:2">
      <c r="A248" s="211" t="s">
        <v>1024</v>
      </c>
      <c r="B248" s="212" t="s">
        <v>1025</v>
      </c>
    </row>
    <row r="249" spans="1:2">
      <c r="A249" s="211" t="s">
        <v>1026</v>
      </c>
      <c r="B249" s="212" t="s">
        <v>1027</v>
      </c>
    </row>
    <row r="250" spans="1:2">
      <c r="A250" s="211" t="s">
        <v>1028</v>
      </c>
      <c r="B250" s="212" t="s">
        <v>1029</v>
      </c>
    </row>
    <row r="251" spans="1:2">
      <c r="A251" s="211" t="s">
        <v>1030</v>
      </c>
      <c r="B251" s="212" t="s">
        <v>1031</v>
      </c>
    </row>
    <row r="252" spans="1:2">
      <c r="A252" s="211" t="s">
        <v>1032</v>
      </c>
      <c r="B252" s="212" t="s">
        <v>1033</v>
      </c>
    </row>
    <row r="253" spans="1:2">
      <c r="A253" s="211" t="s">
        <v>1034</v>
      </c>
      <c r="B253" s="212" t="s">
        <v>1035</v>
      </c>
    </row>
    <row r="254" spans="1:2">
      <c r="A254" s="211" t="s">
        <v>1036</v>
      </c>
      <c r="B254" s="212" t="s">
        <v>1037</v>
      </c>
    </row>
    <row r="255" spans="1:2">
      <c r="A255" s="211" t="s">
        <v>1038</v>
      </c>
      <c r="B255" s="212" t="s">
        <v>1039</v>
      </c>
    </row>
    <row r="256" spans="1:2">
      <c r="A256" s="211" t="s">
        <v>1040</v>
      </c>
      <c r="B256" s="212" t="s">
        <v>1041</v>
      </c>
    </row>
    <row r="257" spans="1:2">
      <c r="A257" s="211" t="s">
        <v>1042</v>
      </c>
      <c r="B257" s="212" t="s">
        <v>1043</v>
      </c>
    </row>
    <row r="258" spans="1:2">
      <c r="A258" s="211" t="s">
        <v>1044</v>
      </c>
      <c r="B258" s="212" t="s">
        <v>1045</v>
      </c>
    </row>
    <row r="259" spans="1:2">
      <c r="A259" s="211" t="s">
        <v>1046</v>
      </c>
      <c r="B259" s="212" t="s">
        <v>1047</v>
      </c>
    </row>
    <row r="260" spans="1:2">
      <c r="A260" s="211" t="s">
        <v>1048</v>
      </c>
      <c r="B260" s="212" t="s">
        <v>1049</v>
      </c>
    </row>
    <row r="261" spans="1:2">
      <c r="A261" s="211" t="s">
        <v>1050</v>
      </c>
      <c r="B261" s="212" t="s">
        <v>1051</v>
      </c>
    </row>
    <row r="262" spans="1:2">
      <c r="A262" s="211" t="s">
        <v>1052</v>
      </c>
      <c r="B262" s="212" t="s">
        <v>1053</v>
      </c>
    </row>
    <row r="263" spans="1:2">
      <c r="A263" s="211" t="s">
        <v>1054</v>
      </c>
      <c r="B263" s="212" t="s">
        <v>1055</v>
      </c>
    </row>
    <row r="264" spans="1:2">
      <c r="A264" s="211" t="s">
        <v>1056</v>
      </c>
      <c r="B264" s="212" t="s">
        <v>1057</v>
      </c>
    </row>
    <row r="265" spans="1:2">
      <c r="A265" s="211" t="s">
        <v>1058</v>
      </c>
      <c r="B265" s="212" t="s">
        <v>1059</v>
      </c>
    </row>
    <row r="266" spans="1:2">
      <c r="A266" s="211" t="s">
        <v>1060</v>
      </c>
      <c r="B266" s="212" t="s">
        <v>1061</v>
      </c>
    </row>
    <row r="267" spans="1:2">
      <c r="A267" s="211" t="s">
        <v>1062</v>
      </c>
      <c r="B267" s="212" t="s">
        <v>1063</v>
      </c>
    </row>
    <row r="268" spans="1:2">
      <c r="A268" s="211" t="s">
        <v>1064</v>
      </c>
      <c r="B268" s="212" t="s">
        <v>1065</v>
      </c>
    </row>
    <row r="269" spans="1:2">
      <c r="A269" s="211" t="s">
        <v>1066</v>
      </c>
      <c r="B269" s="212" t="s">
        <v>1067</v>
      </c>
    </row>
    <row r="270" spans="1:2">
      <c r="A270" s="211" t="s">
        <v>1068</v>
      </c>
      <c r="B270" s="212" t="s">
        <v>1069</v>
      </c>
    </row>
    <row r="271" spans="1:2">
      <c r="A271" s="211" t="s">
        <v>1070</v>
      </c>
      <c r="B271" s="212" t="s">
        <v>1071</v>
      </c>
    </row>
    <row r="272" spans="1:2">
      <c r="A272" s="211" t="s">
        <v>1072</v>
      </c>
      <c r="B272" s="212" t="s">
        <v>1073</v>
      </c>
    </row>
    <row r="273" spans="1:2">
      <c r="A273" s="211" t="s">
        <v>1074</v>
      </c>
      <c r="B273" s="212" t="s">
        <v>1075</v>
      </c>
    </row>
    <row r="274" spans="1:2">
      <c r="A274" s="211" t="s">
        <v>1076</v>
      </c>
      <c r="B274" s="212" t="s">
        <v>1077</v>
      </c>
    </row>
    <row r="275" spans="1:2">
      <c r="A275" s="211" t="s">
        <v>1078</v>
      </c>
      <c r="B275" s="212" t="s">
        <v>1079</v>
      </c>
    </row>
    <row r="276" spans="1:2">
      <c r="A276" s="211" t="s">
        <v>1080</v>
      </c>
      <c r="B276" s="212" t="s">
        <v>1081</v>
      </c>
    </row>
    <row r="277" spans="1:2">
      <c r="A277" s="211" t="s">
        <v>1082</v>
      </c>
      <c r="B277" s="212" t="s">
        <v>1083</v>
      </c>
    </row>
    <row r="278" spans="1:2">
      <c r="A278" s="211" t="s">
        <v>1084</v>
      </c>
      <c r="B278" s="212" t="s">
        <v>1085</v>
      </c>
    </row>
    <row r="279" spans="1:2">
      <c r="A279" s="211" t="s">
        <v>1086</v>
      </c>
      <c r="B279" s="212" t="s">
        <v>1087</v>
      </c>
    </row>
    <row r="280" spans="1:2">
      <c r="A280" s="211" t="s">
        <v>1088</v>
      </c>
      <c r="B280" s="212" t="s">
        <v>1089</v>
      </c>
    </row>
    <row r="281" spans="1:2">
      <c r="A281" s="211" t="s">
        <v>1090</v>
      </c>
      <c r="B281" s="212" t="s">
        <v>1091</v>
      </c>
    </row>
    <row r="282" spans="1:2">
      <c r="A282" s="211" t="s">
        <v>1092</v>
      </c>
      <c r="B282" s="212" t="s">
        <v>1093</v>
      </c>
    </row>
    <row r="283" spans="1:2">
      <c r="A283" s="211" t="s">
        <v>1094</v>
      </c>
      <c r="B283" s="212" t="s">
        <v>1095</v>
      </c>
    </row>
    <row r="284" spans="1:2">
      <c r="A284" s="211" t="s">
        <v>1096</v>
      </c>
      <c r="B284" s="212" t="s">
        <v>1097</v>
      </c>
    </row>
    <row r="285" spans="1:2">
      <c r="A285" s="211" t="s">
        <v>1098</v>
      </c>
      <c r="B285" s="212" t="s">
        <v>1099</v>
      </c>
    </row>
    <row r="286" spans="1:2">
      <c r="A286" s="211" t="s">
        <v>1779</v>
      </c>
      <c r="B286" s="212" t="s">
        <v>1780</v>
      </c>
    </row>
    <row r="287" spans="1:2">
      <c r="A287" s="211" t="s">
        <v>1781</v>
      </c>
      <c r="B287" s="212" t="s">
        <v>1782</v>
      </c>
    </row>
    <row r="288" spans="1:2">
      <c r="A288" s="211" t="s">
        <v>1783</v>
      </c>
      <c r="B288" s="212" t="s">
        <v>1784</v>
      </c>
    </row>
    <row r="289" spans="1:2">
      <c r="A289" s="211" t="s">
        <v>1785</v>
      </c>
      <c r="B289" s="212" t="s">
        <v>1786</v>
      </c>
    </row>
    <row r="290" spans="1:2">
      <c r="A290" s="211" t="s">
        <v>1787</v>
      </c>
      <c r="B290" s="212" t="s">
        <v>1788</v>
      </c>
    </row>
    <row r="291" spans="1:2">
      <c r="A291" s="211" t="s">
        <v>1789</v>
      </c>
      <c r="B291" s="212" t="s">
        <v>1790</v>
      </c>
    </row>
    <row r="292" spans="1:2">
      <c r="A292" s="211" t="s">
        <v>1791</v>
      </c>
      <c r="B292" s="212" t="s">
        <v>1792</v>
      </c>
    </row>
    <row r="293" spans="1:2">
      <c r="A293" s="211" t="s">
        <v>1793</v>
      </c>
      <c r="B293" s="212" t="s">
        <v>1794</v>
      </c>
    </row>
    <row r="294" spans="1:2">
      <c r="A294" s="211" t="s">
        <v>1795</v>
      </c>
      <c r="B294" s="212" t="s">
        <v>1796</v>
      </c>
    </row>
    <row r="295" spans="1:2">
      <c r="A295" s="211" t="s">
        <v>1797</v>
      </c>
      <c r="B295" s="212" t="s">
        <v>1798</v>
      </c>
    </row>
    <row r="296" spans="1:2">
      <c r="A296" s="211" t="s">
        <v>1799</v>
      </c>
      <c r="B296" s="212" t="s">
        <v>1800</v>
      </c>
    </row>
    <row r="297" spans="1:2">
      <c r="A297" s="211" t="s">
        <v>1801</v>
      </c>
      <c r="B297" s="212" t="s">
        <v>1802</v>
      </c>
    </row>
    <row r="298" spans="1:2">
      <c r="A298" s="211" t="s">
        <v>1803</v>
      </c>
      <c r="B298" s="212" t="s">
        <v>1804</v>
      </c>
    </row>
    <row r="299" spans="1:2">
      <c r="A299" s="211" t="s">
        <v>1805</v>
      </c>
      <c r="B299" s="212" t="s">
        <v>1806</v>
      </c>
    </row>
    <row r="300" spans="1:2">
      <c r="A300" s="211" t="s">
        <v>1807</v>
      </c>
      <c r="B300" s="212" t="s">
        <v>1808</v>
      </c>
    </row>
    <row r="301" spans="1:2">
      <c r="A301" s="211" t="s">
        <v>1809</v>
      </c>
      <c r="B301" s="212" t="s">
        <v>1810</v>
      </c>
    </row>
    <row r="302" spans="1:2">
      <c r="A302" s="211" t="s">
        <v>1811</v>
      </c>
      <c r="B302" s="212" t="s">
        <v>1812</v>
      </c>
    </row>
    <row r="303" spans="1:2">
      <c r="A303" s="211" t="s">
        <v>1813</v>
      </c>
      <c r="B303" s="212" t="s">
        <v>1814</v>
      </c>
    </row>
    <row r="304" spans="1:2">
      <c r="A304" s="211" t="s">
        <v>1815</v>
      </c>
      <c r="B304" s="212" t="s">
        <v>1816</v>
      </c>
    </row>
    <row r="305" spans="1:2">
      <c r="A305" s="211" t="s">
        <v>1817</v>
      </c>
      <c r="B305" s="212" t="s">
        <v>1818</v>
      </c>
    </row>
    <row r="306" spans="1:2">
      <c r="A306" s="211" t="s">
        <v>1819</v>
      </c>
      <c r="B306" s="212" t="s">
        <v>1820</v>
      </c>
    </row>
    <row r="307" spans="1:2">
      <c r="A307" s="211" t="s">
        <v>1821</v>
      </c>
      <c r="B307" s="212" t="s">
        <v>1822</v>
      </c>
    </row>
    <row r="308" spans="1:2">
      <c r="A308" s="211" t="s">
        <v>1823</v>
      </c>
      <c r="B308" s="212" t="s">
        <v>1824</v>
      </c>
    </row>
    <row r="309" spans="1:2">
      <c r="A309" s="211" t="s">
        <v>1825</v>
      </c>
      <c r="B309" s="212" t="s">
        <v>1826</v>
      </c>
    </row>
    <row r="310" spans="1:2">
      <c r="A310" s="211" t="s">
        <v>1827</v>
      </c>
      <c r="B310" s="212" t="s">
        <v>1828</v>
      </c>
    </row>
    <row r="311" spans="1:2">
      <c r="A311" s="211" t="s">
        <v>1829</v>
      </c>
      <c r="B311" s="212" t="s">
        <v>1830</v>
      </c>
    </row>
    <row r="312" spans="1:2">
      <c r="A312" s="211" t="s">
        <v>1831</v>
      </c>
      <c r="B312" s="212" t="s">
        <v>1832</v>
      </c>
    </row>
    <row r="313" spans="1:2">
      <c r="A313" s="211" t="s">
        <v>1833</v>
      </c>
      <c r="B313" s="212" t="s">
        <v>1834</v>
      </c>
    </row>
    <row r="314" spans="1:2">
      <c r="A314" s="211" t="s">
        <v>1835</v>
      </c>
      <c r="B314" s="212" t="s">
        <v>1836</v>
      </c>
    </row>
    <row r="315" spans="1:2">
      <c r="A315" s="211" t="s">
        <v>1837</v>
      </c>
      <c r="B315" s="212" t="s">
        <v>1838</v>
      </c>
    </row>
    <row r="316" spans="1:2">
      <c r="A316" s="211" t="s">
        <v>1839</v>
      </c>
      <c r="B316" s="212" t="s">
        <v>1840</v>
      </c>
    </row>
    <row r="317" spans="1:2">
      <c r="A317" s="211" t="s">
        <v>1841</v>
      </c>
      <c r="B317" s="212" t="s">
        <v>1842</v>
      </c>
    </row>
    <row r="318" spans="1:2">
      <c r="A318" s="211" t="s">
        <v>1843</v>
      </c>
      <c r="B318" s="212" t="s">
        <v>1844</v>
      </c>
    </row>
    <row r="319" spans="1:2">
      <c r="A319" s="211" t="s">
        <v>1845</v>
      </c>
      <c r="B319" s="212" t="s">
        <v>1846</v>
      </c>
    </row>
    <row r="320" spans="1:2">
      <c r="A320" s="211" t="s">
        <v>1847</v>
      </c>
      <c r="B320" s="212" t="s">
        <v>1848</v>
      </c>
    </row>
    <row r="321" spans="1:2">
      <c r="A321" s="211" t="s">
        <v>1849</v>
      </c>
      <c r="B321" s="212" t="s">
        <v>1850</v>
      </c>
    </row>
    <row r="322" spans="1:2">
      <c r="A322" s="211" t="s">
        <v>1851</v>
      </c>
      <c r="B322" s="212" t="s">
        <v>1852</v>
      </c>
    </row>
    <row r="323" spans="1:2">
      <c r="A323" s="211" t="s">
        <v>1853</v>
      </c>
      <c r="B323" s="212" t="s">
        <v>1854</v>
      </c>
    </row>
    <row r="324" spans="1:2">
      <c r="A324" s="211" t="s">
        <v>1855</v>
      </c>
      <c r="B324" s="212" t="s">
        <v>1856</v>
      </c>
    </row>
    <row r="325" spans="1:2">
      <c r="A325" s="211" t="s">
        <v>1857</v>
      </c>
      <c r="B325" s="212" t="s">
        <v>1858</v>
      </c>
    </row>
    <row r="326" spans="1:2">
      <c r="A326" s="211" t="s">
        <v>1859</v>
      </c>
      <c r="B326" s="212" t="s">
        <v>1860</v>
      </c>
    </row>
    <row r="327" spans="1:2">
      <c r="A327" s="211" t="s">
        <v>1861</v>
      </c>
      <c r="B327" s="212" t="s">
        <v>1862</v>
      </c>
    </row>
    <row r="328" spans="1:2">
      <c r="A328" s="211" t="s">
        <v>1863</v>
      </c>
      <c r="B328" s="212" t="s">
        <v>1864</v>
      </c>
    </row>
    <row r="329" spans="1:2">
      <c r="A329" s="211" t="s">
        <v>1865</v>
      </c>
      <c r="B329" s="212" t="s">
        <v>1866</v>
      </c>
    </row>
    <row r="330" spans="1:2">
      <c r="A330" s="211" t="s">
        <v>1867</v>
      </c>
      <c r="B330" s="212" t="s">
        <v>1868</v>
      </c>
    </row>
    <row r="331" spans="1:2">
      <c r="A331" s="211" t="s">
        <v>1869</v>
      </c>
      <c r="B331" s="212" t="s">
        <v>1870</v>
      </c>
    </row>
    <row r="332" spans="1:2">
      <c r="A332" s="211" t="s">
        <v>1871</v>
      </c>
      <c r="B332" s="212" t="s">
        <v>1872</v>
      </c>
    </row>
    <row r="333" spans="1:2">
      <c r="A333" s="211" t="s">
        <v>1873</v>
      </c>
      <c r="B333" s="212" t="s">
        <v>1874</v>
      </c>
    </row>
    <row r="334" spans="1:2">
      <c r="A334" s="211" t="s">
        <v>1875</v>
      </c>
      <c r="B334" s="212" t="s">
        <v>1876</v>
      </c>
    </row>
    <row r="335" spans="1:2">
      <c r="A335" s="211" t="s">
        <v>1877</v>
      </c>
      <c r="B335" s="212" t="s">
        <v>1878</v>
      </c>
    </row>
    <row r="336" spans="1:2">
      <c r="A336" s="211" t="s">
        <v>1879</v>
      </c>
      <c r="B336" s="212" t="s">
        <v>1880</v>
      </c>
    </row>
    <row r="337" spans="1:2">
      <c r="A337" s="211" t="s">
        <v>1881</v>
      </c>
      <c r="B337" s="212" t="s">
        <v>1882</v>
      </c>
    </row>
    <row r="338" spans="1:2">
      <c r="A338" s="211" t="s">
        <v>1883</v>
      </c>
      <c r="B338" s="212" t="s">
        <v>1884</v>
      </c>
    </row>
    <row r="339" spans="1:2">
      <c r="A339" s="211" t="s">
        <v>1885</v>
      </c>
      <c r="B339" s="212" t="s">
        <v>1886</v>
      </c>
    </row>
    <row r="340" spans="1:2">
      <c r="A340" s="211" t="s">
        <v>1887</v>
      </c>
      <c r="B340" s="212" t="s">
        <v>1888</v>
      </c>
    </row>
    <row r="341" spans="1:2">
      <c r="A341" s="211" t="s">
        <v>1889</v>
      </c>
      <c r="B341" s="212" t="s">
        <v>1890</v>
      </c>
    </row>
    <row r="342" spans="1:2">
      <c r="A342" s="211" t="s">
        <v>1891</v>
      </c>
      <c r="B342" s="212" t="s">
        <v>1892</v>
      </c>
    </row>
    <row r="343" spans="1:2">
      <c r="A343" s="211" t="s">
        <v>1893</v>
      </c>
      <c r="B343" s="212" t="s">
        <v>1894</v>
      </c>
    </row>
    <row r="344" spans="1:2">
      <c r="A344" s="211" t="s">
        <v>1895</v>
      </c>
      <c r="B344" s="212" t="s">
        <v>1896</v>
      </c>
    </row>
    <row r="345" spans="1:2">
      <c r="A345" s="211" t="s">
        <v>1897</v>
      </c>
      <c r="B345" s="212" t="s">
        <v>1898</v>
      </c>
    </row>
    <row r="346" spans="1:2">
      <c r="A346" s="211" t="s">
        <v>1899</v>
      </c>
      <c r="B346" s="212" t="s">
        <v>1900</v>
      </c>
    </row>
    <row r="347" spans="1:2">
      <c r="A347" s="211" t="s">
        <v>1901</v>
      </c>
      <c r="B347" s="212" t="s">
        <v>1902</v>
      </c>
    </row>
    <row r="348" spans="1:2">
      <c r="A348" s="211" t="s">
        <v>1903</v>
      </c>
      <c r="B348" s="212" t="s">
        <v>1904</v>
      </c>
    </row>
    <row r="349" spans="1:2">
      <c r="A349" s="211" t="s">
        <v>1905</v>
      </c>
      <c r="B349" s="212"/>
    </row>
    <row r="350" spans="1:2">
      <c r="A350" s="211" t="s">
        <v>1906</v>
      </c>
      <c r="B350" s="212" t="s">
        <v>1907</v>
      </c>
    </row>
    <row r="351" spans="1:2">
      <c r="A351" s="211" t="s">
        <v>1908</v>
      </c>
      <c r="B351" s="212" t="s">
        <v>1909</v>
      </c>
    </row>
    <row r="352" spans="1:2">
      <c r="A352" s="211" t="s">
        <v>1910</v>
      </c>
      <c r="B352" s="212" t="s">
        <v>1911</v>
      </c>
    </row>
    <row r="353" spans="1:2">
      <c r="A353" s="211" t="s">
        <v>1912</v>
      </c>
      <c r="B353" s="212" t="s">
        <v>1913</v>
      </c>
    </row>
    <row r="354" spans="1:2">
      <c r="A354" s="211" t="s">
        <v>1914</v>
      </c>
      <c r="B354" s="212" t="s">
        <v>1915</v>
      </c>
    </row>
    <row r="355" spans="1:2">
      <c r="A355" s="211" t="s">
        <v>1916</v>
      </c>
      <c r="B355" s="212" t="s">
        <v>1917</v>
      </c>
    </row>
    <row r="356" spans="1:2">
      <c r="A356" s="211" t="s">
        <v>1918</v>
      </c>
      <c r="B356" s="212" t="s">
        <v>1919</v>
      </c>
    </row>
    <row r="357" spans="1:2">
      <c r="A357" s="211" t="s">
        <v>1920</v>
      </c>
      <c r="B357" s="212" t="s">
        <v>1921</v>
      </c>
    </row>
    <row r="358" spans="1:2">
      <c r="A358" s="211" t="s">
        <v>1922</v>
      </c>
      <c r="B358" s="212" t="s">
        <v>1923</v>
      </c>
    </row>
    <row r="359" spans="1:2">
      <c r="A359" s="211" t="s">
        <v>1924</v>
      </c>
      <c r="B359" s="212" t="s">
        <v>1925</v>
      </c>
    </row>
    <row r="360" spans="1:2">
      <c r="A360" s="211" t="s">
        <v>1926</v>
      </c>
      <c r="B360" s="212" t="s">
        <v>1927</v>
      </c>
    </row>
    <row r="361" spans="1:2">
      <c r="A361" s="211" t="s">
        <v>1928</v>
      </c>
      <c r="B361" s="212" t="s">
        <v>1929</v>
      </c>
    </row>
    <row r="362" spans="1:2">
      <c r="A362" s="211" t="s">
        <v>1930</v>
      </c>
      <c r="B362" s="212" t="s">
        <v>1931</v>
      </c>
    </row>
    <row r="363" spans="1:2">
      <c r="A363" s="211" t="s">
        <v>1932</v>
      </c>
      <c r="B363" s="212" t="s">
        <v>1933</v>
      </c>
    </row>
    <row r="364" spans="1:2">
      <c r="A364" s="211" t="s">
        <v>1934</v>
      </c>
      <c r="B364" s="212" t="s">
        <v>1935</v>
      </c>
    </row>
    <row r="365" spans="1:2">
      <c r="A365" s="211" t="s">
        <v>1936</v>
      </c>
      <c r="B365" s="212" t="s">
        <v>1937</v>
      </c>
    </row>
    <row r="366" spans="1:2">
      <c r="A366" s="211" t="s">
        <v>1938</v>
      </c>
      <c r="B366" s="212" t="s">
        <v>1939</v>
      </c>
    </row>
    <row r="367" spans="1:2">
      <c r="A367" s="211" t="s">
        <v>1940</v>
      </c>
      <c r="B367" s="212" t="s">
        <v>1941</v>
      </c>
    </row>
    <row r="368" spans="1:2">
      <c r="A368" s="211" t="s">
        <v>1942</v>
      </c>
      <c r="B368" s="212" t="s">
        <v>1943</v>
      </c>
    </row>
    <row r="369" spans="1:2">
      <c r="A369" s="211" t="s">
        <v>1944</v>
      </c>
      <c r="B369" s="212" t="s">
        <v>1945</v>
      </c>
    </row>
    <row r="370" spans="1:2">
      <c r="A370" s="211" t="s">
        <v>1946</v>
      </c>
      <c r="B370" s="212" t="s">
        <v>1947</v>
      </c>
    </row>
    <row r="371" spans="1:2">
      <c r="A371" s="211" t="s">
        <v>1948</v>
      </c>
      <c r="B371" s="212" t="s">
        <v>1949</v>
      </c>
    </row>
    <row r="372" spans="1:2">
      <c r="A372" s="211" t="s">
        <v>1950</v>
      </c>
      <c r="B372" s="212" t="s">
        <v>1951</v>
      </c>
    </row>
    <row r="373" spans="1:2">
      <c r="A373" s="211" t="s">
        <v>1952</v>
      </c>
      <c r="B373" s="212" t="s">
        <v>1953</v>
      </c>
    </row>
    <row r="374" spans="1:2">
      <c r="A374" s="211" t="s">
        <v>1954</v>
      </c>
      <c r="B374" s="212" t="s">
        <v>1955</v>
      </c>
    </row>
    <row r="375" spans="1:2">
      <c r="A375" s="211" t="s">
        <v>1956</v>
      </c>
      <c r="B375" s="212" t="s">
        <v>1957</v>
      </c>
    </row>
    <row r="376" spans="1:2">
      <c r="A376" s="211" t="s">
        <v>1958</v>
      </c>
      <c r="B376" s="212" t="s">
        <v>1959</v>
      </c>
    </row>
    <row r="377" spans="1:2">
      <c r="A377" s="211" t="s">
        <v>1960</v>
      </c>
      <c r="B377" s="212" t="s">
        <v>1961</v>
      </c>
    </row>
    <row r="378" spans="1:2">
      <c r="A378" s="211" t="s">
        <v>1962</v>
      </c>
      <c r="B378" s="212" t="s">
        <v>1963</v>
      </c>
    </row>
    <row r="379" spans="1:2">
      <c r="A379" s="211" t="s">
        <v>1964</v>
      </c>
      <c r="B379" s="212" t="s">
        <v>1965</v>
      </c>
    </row>
    <row r="380" spans="1:2">
      <c r="A380" s="210" t="s">
        <v>151</v>
      </c>
      <c r="B380" s="213" t="s">
        <v>2315</v>
      </c>
    </row>
    <row r="381" spans="1:2">
      <c r="A381" s="211" t="s">
        <v>1100</v>
      </c>
      <c r="B381" s="212" t="s">
        <v>1101</v>
      </c>
    </row>
    <row r="382" spans="1:2">
      <c r="A382" s="211" t="s">
        <v>1102</v>
      </c>
      <c r="B382" s="212" t="s">
        <v>1103</v>
      </c>
    </row>
    <row r="383" spans="1:2">
      <c r="A383" s="211" t="s">
        <v>1104</v>
      </c>
      <c r="B383" s="212" t="s">
        <v>1105</v>
      </c>
    </row>
    <row r="384" spans="1:2">
      <c r="A384" s="211" t="s">
        <v>1106</v>
      </c>
      <c r="B384" s="212" t="s">
        <v>1107</v>
      </c>
    </row>
    <row r="385" spans="1:2">
      <c r="A385" s="211" t="s">
        <v>1966</v>
      </c>
      <c r="B385" s="212" t="s">
        <v>1967</v>
      </c>
    </row>
    <row r="386" spans="1:2">
      <c r="A386" s="211" t="s">
        <v>1968</v>
      </c>
      <c r="B386" s="212" t="s">
        <v>1969</v>
      </c>
    </row>
    <row r="387" spans="1:2">
      <c r="A387" s="210" t="s">
        <v>2318</v>
      </c>
      <c r="B387" s="213" t="s">
        <v>2316</v>
      </c>
    </row>
    <row r="388" spans="1:2">
      <c r="A388" s="211" t="s">
        <v>827</v>
      </c>
      <c r="B388" s="212"/>
    </row>
    <row r="389" spans="1:2">
      <c r="A389" s="210" t="s">
        <v>264</v>
      </c>
      <c r="B389" s="213" t="s">
        <v>811</v>
      </c>
    </row>
    <row r="390" spans="1:2">
      <c r="A390" s="211" t="s">
        <v>1108</v>
      </c>
      <c r="B390" s="212" t="s">
        <v>347</v>
      </c>
    </row>
    <row r="391" spans="1:2">
      <c r="A391" s="211" t="s">
        <v>1109</v>
      </c>
      <c r="B391" s="212" t="s">
        <v>348</v>
      </c>
    </row>
    <row r="392" spans="1:2">
      <c r="A392" s="211" t="s">
        <v>1110</v>
      </c>
      <c r="B392" s="212" t="s">
        <v>1111</v>
      </c>
    </row>
    <row r="393" spans="1:2">
      <c r="A393" s="211" t="s">
        <v>1112</v>
      </c>
      <c r="B393" s="212" t="s">
        <v>1113</v>
      </c>
    </row>
    <row r="394" spans="1:2">
      <c r="A394" s="211" t="s">
        <v>1970</v>
      </c>
      <c r="B394" s="212" t="s">
        <v>1495</v>
      </c>
    </row>
    <row r="395" spans="1:2">
      <c r="A395" s="210" t="s">
        <v>812</v>
      </c>
      <c r="B395" s="213" t="s">
        <v>813</v>
      </c>
    </row>
    <row r="396" spans="1:2">
      <c r="A396" s="211" t="s">
        <v>1114</v>
      </c>
      <c r="B396" s="212" t="s">
        <v>1115</v>
      </c>
    </row>
    <row r="397" spans="1:2">
      <c r="A397" s="211" t="s">
        <v>1116</v>
      </c>
      <c r="B397" s="212" t="s">
        <v>1117</v>
      </c>
    </row>
    <row r="398" spans="1:2">
      <c r="A398" s="211" t="s">
        <v>1118</v>
      </c>
      <c r="B398" s="212" t="s">
        <v>1119</v>
      </c>
    </row>
    <row r="399" spans="1:2">
      <c r="A399" s="210" t="s">
        <v>814</v>
      </c>
      <c r="B399" s="213" t="s">
        <v>815</v>
      </c>
    </row>
    <row r="400" spans="1:2">
      <c r="A400" s="211" t="s">
        <v>1120</v>
      </c>
      <c r="B400" s="212" t="s">
        <v>1121</v>
      </c>
    </row>
    <row r="401" spans="1:2">
      <c r="A401" s="209" t="s">
        <v>655</v>
      </c>
      <c r="B401" s="214" t="s">
        <v>1201</v>
      </c>
    </row>
    <row r="402" spans="1:2">
      <c r="A402" s="210" t="s">
        <v>1199</v>
      </c>
      <c r="B402" s="213" t="s">
        <v>1200</v>
      </c>
    </row>
    <row r="403" spans="1:2">
      <c r="A403" s="210" t="s">
        <v>822</v>
      </c>
      <c r="B403" s="213" t="s">
        <v>2317</v>
      </c>
    </row>
    <row r="404" spans="1:2">
      <c r="A404" s="211" t="s">
        <v>1122</v>
      </c>
      <c r="B404" s="212" t="s">
        <v>1123</v>
      </c>
    </row>
    <row r="405" spans="1:2">
      <c r="A405" s="211" t="s">
        <v>1124</v>
      </c>
      <c r="B405" s="212" t="s">
        <v>1125</v>
      </c>
    </row>
    <row r="406" spans="1:2">
      <c r="A406" s="211" t="s">
        <v>1126</v>
      </c>
      <c r="B406" s="212" t="s">
        <v>1127</v>
      </c>
    </row>
    <row r="407" spans="1:2">
      <c r="A407" s="211" t="s">
        <v>1128</v>
      </c>
      <c r="B407" s="212" t="s">
        <v>1129</v>
      </c>
    </row>
    <row r="408" spans="1:2">
      <c r="A408" s="211" t="s">
        <v>1130</v>
      </c>
      <c r="B408" s="212" t="s">
        <v>1131</v>
      </c>
    </row>
    <row r="409" spans="1:2">
      <c r="A409" s="211" t="s">
        <v>1132</v>
      </c>
      <c r="B409" s="212" t="s">
        <v>1133</v>
      </c>
    </row>
    <row r="410" spans="1:2">
      <c r="A410" s="211" t="s">
        <v>1134</v>
      </c>
      <c r="B410" s="212" t="s">
        <v>1135</v>
      </c>
    </row>
    <row r="411" spans="1:2">
      <c r="A411" s="211" t="s">
        <v>1136</v>
      </c>
      <c r="B411" s="212" t="s">
        <v>1137</v>
      </c>
    </row>
    <row r="412" spans="1:2">
      <c r="A412" s="211" t="s">
        <v>1138</v>
      </c>
      <c r="B412" s="212" t="s">
        <v>1139</v>
      </c>
    </row>
    <row r="413" spans="1:2">
      <c r="A413" s="211" t="s">
        <v>1140</v>
      </c>
      <c r="B413" s="212" t="s">
        <v>1141</v>
      </c>
    </row>
    <row r="414" spans="1:2">
      <c r="A414" s="211" t="s">
        <v>1142</v>
      </c>
      <c r="B414" s="212" t="s">
        <v>1143</v>
      </c>
    </row>
    <row r="415" spans="1:2">
      <c r="A415" s="211" t="s">
        <v>1144</v>
      </c>
      <c r="B415" s="212" t="s">
        <v>1145</v>
      </c>
    </row>
    <row r="416" spans="1:2">
      <c r="A416" s="211" t="s">
        <v>1146</v>
      </c>
      <c r="B416" s="212" t="s">
        <v>1147</v>
      </c>
    </row>
    <row r="417" spans="1:2">
      <c r="A417" s="211" t="s">
        <v>1148</v>
      </c>
      <c r="B417" s="212" t="s">
        <v>1149</v>
      </c>
    </row>
    <row r="418" spans="1:2">
      <c r="A418" s="211" t="s">
        <v>1150</v>
      </c>
      <c r="B418" s="212" t="s">
        <v>1151</v>
      </c>
    </row>
    <row r="419" spans="1:2">
      <c r="A419" s="211" t="s">
        <v>1152</v>
      </c>
      <c r="B419" s="212" t="s">
        <v>1153</v>
      </c>
    </row>
    <row r="420" spans="1:2">
      <c r="A420" s="211" t="s">
        <v>1154</v>
      </c>
      <c r="B420" s="212" t="s">
        <v>1155</v>
      </c>
    </row>
    <row r="421" spans="1:2">
      <c r="A421" s="211" t="s">
        <v>1156</v>
      </c>
      <c r="B421" s="212" t="s">
        <v>1157</v>
      </c>
    </row>
    <row r="422" spans="1:2">
      <c r="A422" s="211" t="s">
        <v>1158</v>
      </c>
      <c r="B422" s="212" t="s">
        <v>1159</v>
      </c>
    </row>
    <row r="423" spans="1:2" ht="22.5">
      <c r="A423" s="211" t="s">
        <v>1160</v>
      </c>
      <c r="B423" s="212" t="s">
        <v>1161</v>
      </c>
    </row>
    <row r="424" spans="1:2">
      <c r="A424" s="211" t="s">
        <v>1162</v>
      </c>
      <c r="B424" s="212" t="s">
        <v>1163</v>
      </c>
    </row>
    <row r="425" spans="1:2">
      <c r="A425" s="211" t="s">
        <v>1164</v>
      </c>
      <c r="B425" s="212" t="s">
        <v>1165</v>
      </c>
    </row>
    <row r="426" spans="1:2">
      <c r="A426" s="211" t="s">
        <v>1166</v>
      </c>
      <c r="B426" s="212" t="s">
        <v>1167</v>
      </c>
    </row>
    <row r="427" spans="1:2">
      <c r="A427" s="211" t="s">
        <v>1168</v>
      </c>
      <c r="B427" s="212" t="s">
        <v>1169</v>
      </c>
    </row>
    <row r="428" spans="1:2">
      <c r="A428" s="211" t="s">
        <v>1170</v>
      </c>
      <c r="B428" s="212" t="s">
        <v>1171</v>
      </c>
    </row>
    <row r="429" spans="1:2">
      <c r="A429" s="211" t="s">
        <v>1172</v>
      </c>
      <c r="B429" s="212" t="s">
        <v>1173</v>
      </c>
    </row>
    <row r="430" spans="1:2">
      <c r="A430" s="211" t="s">
        <v>1174</v>
      </c>
      <c r="B430" s="212" t="s">
        <v>1175</v>
      </c>
    </row>
    <row r="431" spans="1:2">
      <c r="A431" s="211" t="s">
        <v>1176</v>
      </c>
      <c r="B431" s="212" t="s">
        <v>1177</v>
      </c>
    </row>
    <row r="432" spans="1:2">
      <c r="A432" s="211" t="s">
        <v>1178</v>
      </c>
      <c r="B432" s="212" t="s">
        <v>1179</v>
      </c>
    </row>
    <row r="433" spans="1:2">
      <c r="A433" s="211" t="s">
        <v>1180</v>
      </c>
      <c r="B433" s="212" t="s">
        <v>1181</v>
      </c>
    </row>
    <row r="434" spans="1:2">
      <c r="A434" s="211" t="s">
        <v>1182</v>
      </c>
      <c r="B434" s="212" t="s">
        <v>1183</v>
      </c>
    </row>
    <row r="435" spans="1:2">
      <c r="A435" s="211" t="s">
        <v>1184</v>
      </c>
      <c r="B435" s="212" t="s">
        <v>1185</v>
      </c>
    </row>
    <row r="436" spans="1:2">
      <c r="A436" s="211" t="s">
        <v>1186</v>
      </c>
      <c r="B436" s="212" t="s">
        <v>1187</v>
      </c>
    </row>
    <row r="437" spans="1:2">
      <c r="A437" s="211" t="s">
        <v>1188</v>
      </c>
      <c r="B437" s="212" t="s">
        <v>1189</v>
      </c>
    </row>
    <row r="438" spans="1:2">
      <c r="A438" s="211" t="s">
        <v>1971</v>
      </c>
      <c r="B438" s="212" t="s">
        <v>1972</v>
      </c>
    </row>
    <row r="439" spans="1:2">
      <c r="A439" s="211" t="s">
        <v>1973</v>
      </c>
      <c r="B439" s="212" t="s">
        <v>1974</v>
      </c>
    </row>
    <row r="440" spans="1:2">
      <c r="A440" s="211" t="s">
        <v>1975</v>
      </c>
      <c r="B440" s="212" t="s">
        <v>1976</v>
      </c>
    </row>
    <row r="441" spans="1:2">
      <c r="A441" s="211" t="s">
        <v>1977</v>
      </c>
      <c r="B441" s="212" t="s">
        <v>1978</v>
      </c>
    </row>
    <row r="442" spans="1:2">
      <c r="A442" s="211" t="s">
        <v>1979</v>
      </c>
      <c r="B442" s="212" t="s">
        <v>1980</v>
      </c>
    </row>
    <row r="443" spans="1:2">
      <c r="A443" s="211" t="s">
        <v>1981</v>
      </c>
      <c r="B443" s="212" t="s">
        <v>1982</v>
      </c>
    </row>
    <row r="444" spans="1:2">
      <c r="A444" s="211" t="s">
        <v>1983</v>
      </c>
      <c r="B444" s="212" t="s">
        <v>1984</v>
      </c>
    </row>
    <row r="445" spans="1:2">
      <c r="A445" s="211" t="s">
        <v>1985</v>
      </c>
      <c r="B445" s="212" t="s">
        <v>1986</v>
      </c>
    </row>
    <row r="446" spans="1:2">
      <c r="A446" s="211" t="s">
        <v>1987</v>
      </c>
      <c r="B446" s="212" t="s">
        <v>1988</v>
      </c>
    </row>
    <row r="447" spans="1:2">
      <c r="A447" s="211" t="s">
        <v>1989</v>
      </c>
      <c r="B447" s="212" t="s">
        <v>1990</v>
      </c>
    </row>
    <row r="448" spans="1:2">
      <c r="A448" s="211" t="s">
        <v>1991</v>
      </c>
      <c r="B448" s="212" t="s">
        <v>1992</v>
      </c>
    </row>
    <row r="449" spans="1:2">
      <c r="A449" s="211" t="s">
        <v>1993</v>
      </c>
      <c r="B449" s="212" t="s">
        <v>1994</v>
      </c>
    </row>
    <row r="450" spans="1:2">
      <c r="A450" s="211" t="s">
        <v>1995</v>
      </c>
      <c r="B450" s="212" t="s">
        <v>1996</v>
      </c>
    </row>
    <row r="451" spans="1:2">
      <c r="A451" s="211" t="s">
        <v>1997</v>
      </c>
      <c r="B451" s="212" t="s">
        <v>1998</v>
      </c>
    </row>
    <row r="452" spans="1:2">
      <c r="A452" s="211" t="s">
        <v>1999</v>
      </c>
      <c r="B452" s="212" t="s">
        <v>2000</v>
      </c>
    </row>
    <row r="453" spans="1:2">
      <c r="A453" s="211" t="s">
        <v>2001</v>
      </c>
      <c r="B453" s="212" t="s">
        <v>2002</v>
      </c>
    </row>
    <row r="454" spans="1:2">
      <c r="A454" s="211" t="s">
        <v>2003</v>
      </c>
      <c r="B454" s="212" t="s">
        <v>2004</v>
      </c>
    </row>
    <row r="455" spans="1:2">
      <c r="A455" s="211" t="s">
        <v>2005</v>
      </c>
      <c r="B455" s="212" t="s">
        <v>2006</v>
      </c>
    </row>
    <row r="456" spans="1:2">
      <c r="A456" s="211" t="s">
        <v>2007</v>
      </c>
      <c r="B456" s="212" t="s">
        <v>2008</v>
      </c>
    </row>
    <row r="457" spans="1:2">
      <c r="A457" s="211" t="s">
        <v>2009</v>
      </c>
      <c r="B457" s="212" t="s">
        <v>2010</v>
      </c>
    </row>
    <row r="458" spans="1:2">
      <c r="A458" s="211" t="s">
        <v>2011</v>
      </c>
      <c r="B458" s="212" t="s">
        <v>2012</v>
      </c>
    </row>
    <row r="459" spans="1:2">
      <c r="A459" s="211" t="s">
        <v>2013</v>
      </c>
      <c r="B459" s="212" t="s">
        <v>2014</v>
      </c>
    </row>
    <row r="460" spans="1:2">
      <c r="A460" s="211" t="s">
        <v>2015</v>
      </c>
      <c r="B460" s="212" t="s">
        <v>2016</v>
      </c>
    </row>
    <row r="461" spans="1:2">
      <c r="A461" s="211" t="s">
        <v>2017</v>
      </c>
      <c r="B461" s="212" t="s">
        <v>2018</v>
      </c>
    </row>
    <row r="462" spans="1:2">
      <c r="A462" s="211" t="s">
        <v>2019</v>
      </c>
      <c r="B462" s="212" t="s">
        <v>2020</v>
      </c>
    </row>
    <row r="463" spans="1:2">
      <c r="A463" s="211" t="s">
        <v>2021</v>
      </c>
      <c r="B463" s="212" t="s">
        <v>2022</v>
      </c>
    </row>
    <row r="464" spans="1:2">
      <c r="A464" s="210" t="s">
        <v>826</v>
      </c>
      <c r="B464" s="213" t="s">
        <v>811</v>
      </c>
    </row>
    <row r="465" spans="1:2">
      <c r="A465" s="211" t="s">
        <v>1190</v>
      </c>
      <c r="B465" s="212" t="s">
        <v>347</v>
      </c>
    </row>
    <row r="466" spans="1:2">
      <c r="A466" s="211" t="s">
        <v>1191</v>
      </c>
      <c r="B466" s="212" t="s">
        <v>348</v>
      </c>
    </row>
    <row r="467" spans="1:2">
      <c r="A467" s="211" t="s">
        <v>1192</v>
      </c>
      <c r="B467" s="212" t="s">
        <v>1193</v>
      </c>
    </row>
    <row r="468" spans="1:2">
      <c r="A468" s="211" t="s">
        <v>1194</v>
      </c>
      <c r="B468" s="212" t="s">
        <v>1111</v>
      </c>
    </row>
    <row r="469" spans="1:2">
      <c r="A469" s="211" t="s">
        <v>2023</v>
      </c>
      <c r="B469" s="212"/>
    </row>
    <row r="470" spans="1:2">
      <c r="A470" s="211" t="s">
        <v>2024</v>
      </c>
      <c r="B470" s="212"/>
    </row>
    <row r="471" spans="1:2">
      <c r="A471" s="211" t="s">
        <v>2025</v>
      </c>
      <c r="B471" s="212" t="s">
        <v>2026</v>
      </c>
    </row>
    <row r="472" spans="1:2">
      <c r="A472" s="211" t="s">
        <v>2027</v>
      </c>
      <c r="B472" s="212" t="s">
        <v>1495</v>
      </c>
    </row>
    <row r="473" spans="1:2">
      <c r="A473" s="209" t="s">
        <v>1251</v>
      </c>
      <c r="B473" s="214" t="s">
        <v>1252</v>
      </c>
    </row>
    <row r="474" spans="1:2">
      <c r="A474" s="210" t="s">
        <v>1253</v>
      </c>
      <c r="B474" s="213" t="s">
        <v>1254</v>
      </c>
    </row>
    <row r="475" spans="1:2">
      <c r="A475" s="210" t="s">
        <v>1281</v>
      </c>
      <c r="B475" s="213" t="s">
        <v>1282</v>
      </c>
    </row>
    <row r="476" spans="1:2">
      <c r="A476" s="211" t="s">
        <v>1509</v>
      </c>
      <c r="B476" s="212" t="s">
        <v>1510</v>
      </c>
    </row>
    <row r="477" spans="1:2">
      <c r="A477" s="210" t="s">
        <v>1283</v>
      </c>
      <c r="B477" s="213" t="s">
        <v>1284</v>
      </c>
    </row>
    <row r="478" spans="1:2">
      <c r="A478" s="211" t="s">
        <v>1511</v>
      </c>
      <c r="B478" s="212" t="s">
        <v>1512</v>
      </c>
    </row>
    <row r="479" spans="1:2">
      <c r="A479" s="211" t="s">
        <v>1513</v>
      </c>
      <c r="B479" s="212" t="s">
        <v>1514</v>
      </c>
    </row>
    <row r="480" spans="1:2">
      <c r="A480" s="209" t="s">
        <v>1290</v>
      </c>
      <c r="B480" s="214" t="s">
        <v>1291</v>
      </c>
    </row>
    <row r="481" spans="1:2">
      <c r="A481" s="210" t="s">
        <v>1253</v>
      </c>
      <c r="B481" s="213" t="s">
        <v>1254</v>
      </c>
    </row>
    <row r="482" spans="1:2">
      <c r="A482" s="210" t="s">
        <v>1298</v>
      </c>
      <c r="B482" s="213" t="s">
        <v>1299</v>
      </c>
    </row>
    <row r="483" spans="1:2">
      <c r="A483" s="211" t="s">
        <v>1515</v>
      </c>
      <c r="B483" s="212" t="s">
        <v>1516</v>
      </c>
    </row>
    <row r="484" spans="1:2">
      <c r="A484" s="211" t="s">
        <v>1517</v>
      </c>
      <c r="B484" s="212" t="s">
        <v>1518</v>
      </c>
    </row>
    <row r="485" spans="1:2">
      <c r="A485" s="211" t="s">
        <v>1519</v>
      </c>
      <c r="B485" s="212" t="s">
        <v>1520</v>
      </c>
    </row>
    <row r="486" spans="1:2">
      <c r="A486" s="209" t="s">
        <v>1413</v>
      </c>
      <c r="B486" s="214" t="s">
        <v>1414</v>
      </c>
    </row>
    <row r="487" spans="1:2">
      <c r="A487" s="210" t="s">
        <v>1207</v>
      </c>
      <c r="B487" s="213" t="s">
        <v>1208</v>
      </c>
    </row>
    <row r="488" spans="1:2">
      <c r="A488" s="210" t="s">
        <v>1443</v>
      </c>
      <c r="B488" s="213" t="s">
        <v>813</v>
      </c>
    </row>
    <row r="489" spans="1:2">
      <c r="A489" s="211" t="s">
        <v>1521</v>
      </c>
      <c r="B489" s="212" t="s">
        <v>1522</v>
      </c>
    </row>
    <row r="490" spans="1:2">
      <c r="A490" s="211" t="s">
        <v>1523</v>
      </c>
      <c r="B490" s="212" t="s">
        <v>1524</v>
      </c>
    </row>
    <row r="491" spans="1:2">
      <c r="A491" s="211" t="s">
        <v>1525</v>
      </c>
      <c r="B491" s="212" t="s">
        <v>1526</v>
      </c>
    </row>
    <row r="492" spans="1:2">
      <c r="A492" s="211" t="s">
        <v>1527</v>
      </c>
      <c r="B492" s="212" t="s">
        <v>1528</v>
      </c>
    </row>
    <row r="493" spans="1:2">
      <c r="A493" s="211" t="s">
        <v>1529</v>
      </c>
      <c r="B493" s="212" t="s">
        <v>1530</v>
      </c>
    </row>
    <row r="494" spans="1:2">
      <c r="A494" s="211" t="s">
        <v>1531</v>
      </c>
      <c r="B494" s="212" t="s">
        <v>1532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10</vt:i4>
      </vt:variant>
      <vt:variant>
        <vt:lpstr>Imenovani rasponi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PROJEKATA'!Ispis_naslova</vt:lpstr>
      <vt:lpstr>'Plan prihoda za unos u SAP'!Ispis_naslova</vt:lpstr>
      <vt:lpstr>'PLAN RASHODA I IZDATAKA'!Ispis_naslova</vt:lpstr>
      <vt:lpstr>'Plan rashoda za unos u SAP'!Ispis_naslova</vt:lpstr>
      <vt:lpstr>'ANALITIKA EU PROJEKATA'!Podrucje_ispisa</vt:lpstr>
      <vt:lpstr>'Opći dio'!Podrucje_ispisa</vt:lpstr>
      <vt:lpstr>'Plan prihoda za unos u SAP'!Podrucje_ispisa</vt:lpstr>
      <vt:lpstr>'Plan rashoda za unos u SAP'!Podrucje_ispisa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Racunovodstvo</cp:lastModifiedBy>
  <cp:lastPrinted>2020-10-13T10:32:14Z</cp:lastPrinted>
  <dcterms:created xsi:type="dcterms:W3CDTF">2018-09-10T07:36:17Z</dcterms:created>
  <dcterms:modified xsi:type="dcterms:W3CDTF">2021-01-07T12:14:32Z</dcterms:modified>
</cp:coreProperties>
</file>