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H:\dugoročni planovi i rebalans\PLAN 2020-2022\"/>
    </mc:Choice>
  </mc:AlternateContent>
  <workbookProtection workbookPassword="DE31" lockStructure="1"/>
  <bookViews>
    <workbookView xWindow="0" yWindow="0" windowWidth="28800" windowHeight="123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M50" i="14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1" i="13"/>
  <c r="P94" i="13"/>
  <c r="P90" i="13"/>
  <c r="P86" i="13"/>
  <c r="P70" i="13"/>
  <c r="P65" i="13"/>
  <c r="P58" i="13"/>
  <c r="P54" i="13"/>
  <c r="P50" i="13"/>
  <c r="P35" i="13"/>
  <c r="P30" i="13"/>
  <c r="P25" i="13"/>
  <c r="P21" i="13"/>
  <c r="P19" i="13"/>
  <c r="P15" i="13"/>
  <c r="P11" i="13"/>
  <c r="P104" i="13"/>
  <c r="P102" i="13"/>
  <c r="P100" i="13"/>
  <c r="P97" i="13"/>
  <c r="P95" i="13"/>
  <c r="P93" i="13"/>
  <c r="P91" i="13"/>
  <c r="P89" i="13"/>
  <c r="P87" i="13"/>
  <c r="P85" i="13"/>
  <c r="P83" i="13"/>
  <c r="P68" i="13"/>
  <c r="P66" i="13"/>
  <c r="P64" i="13"/>
  <c r="P61" i="13"/>
  <c r="P59" i="13"/>
  <c r="P57" i="13"/>
  <c r="P55" i="13"/>
  <c r="P53" i="13"/>
  <c r="P51" i="13"/>
  <c r="P49" i="13"/>
  <c r="P47" i="13"/>
  <c r="P34" i="13"/>
  <c r="P31" i="13"/>
  <c r="P29" i="13"/>
  <c r="P27" i="13"/>
  <c r="P24" i="13"/>
  <c r="P22" i="13"/>
  <c r="P20" i="13"/>
  <c r="P18" i="13"/>
  <c r="P16" i="13"/>
  <c r="P14" i="13"/>
  <c r="P12" i="13"/>
  <c r="P103" i="13"/>
  <c r="P99" i="13"/>
  <c r="P96" i="13"/>
  <c r="P92" i="13"/>
  <c r="P88" i="13"/>
  <c r="P84" i="13"/>
  <c r="P67" i="13"/>
  <c r="P63" i="13"/>
  <c r="P60" i="13"/>
  <c r="P56" i="13"/>
  <c r="P52" i="13"/>
  <c r="P48" i="13"/>
  <c r="P32" i="13"/>
  <c r="P28" i="13"/>
  <c r="P23" i="13"/>
  <c r="P17" i="13"/>
  <c r="P13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M108" i="14"/>
  <c r="L108" i="14"/>
  <c r="K108" i="14"/>
  <c r="J108" i="14"/>
  <c r="E108" i="14"/>
  <c r="O107" i="14"/>
  <c r="N107" i="14"/>
  <c r="M107" i="14"/>
  <c r="L107" i="14"/>
  <c r="K107" i="14"/>
  <c r="J107" i="14"/>
  <c r="E107" i="14"/>
  <c r="O105" i="14"/>
  <c r="N105" i="14"/>
  <c r="M105" i="14"/>
  <c r="L105" i="14"/>
  <c r="K105" i="14"/>
  <c r="J105" i="14"/>
  <c r="E105" i="14"/>
  <c r="O104" i="14"/>
  <c r="N104" i="14"/>
  <c r="M104" i="14"/>
  <c r="L104" i="14"/>
  <c r="K104" i="14"/>
  <c r="J104" i="14"/>
  <c r="E104" i="14"/>
  <c r="O103" i="14"/>
  <c r="N103" i="14"/>
  <c r="M103" i="14"/>
  <c r="L103" i="14"/>
  <c r="K103" i="14"/>
  <c r="J103" i="14"/>
  <c r="E103" i="14"/>
  <c r="O102" i="14"/>
  <c r="N102" i="14"/>
  <c r="M102" i="14"/>
  <c r="L102" i="14"/>
  <c r="K102" i="14"/>
  <c r="J102" i="14"/>
  <c r="E102" i="14"/>
  <c r="O101" i="14"/>
  <c r="N101" i="14"/>
  <c r="M101" i="14"/>
  <c r="L101" i="14"/>
  <c r="K101" i="14"/>
  <c r="J101" i="14"/>
  <c r="E101" i="14"/>
  <c r="O99" i="14"/>
  <c r="N99" i="14"/>
  <c r="M99" i="14"/>
  <c r="L99" i="14"/>
  <c r="K99" i="14"/>
  <c r="J99" i="14"/>
  <c r="E99" i="14"/>
  <c r="O98" i="14"/>
  <c r="N98" i="14"/>
  <c r="M98" i="14"/>
  <c r="L98" i="14"/>
  <c r="K98" i="14"/>
  <c r="J98" i="14"/>
  <c r="E98" i="14"/>
  <c r="O97" i="14"/>
  <c r="N97" i="14"/>
  <c r="M97" i="14"/>
  <c r="L97" i="14"/>
  <c r="K97" i="14"/>
  <c r="J97" i="14"/>
  <c r="E97" i="14"/>
  <c r="O96" i="14"/>
  <c r="N96" i="14"/>
  <c r="M96" i="14"/>
  <c r="L96" i="14"/>
  <c r="K96" i="14"/>
  <c r="J96" i="14"/>
  <c r="E96" i="14"/>
  <c r="O95" i="14"/>
  <c r="N95" i="14"/>
  <c r="M95" i="14"/>
  <c r="L95" i="14"/>
  <c r="K95" i="14"/>
  <c r="J95" i="14"/>
  <c r="E95" i="14"/>
  <c r="O94" i="14"/>
  <c r="N94" i="14"/>
  <c r="M94" i="14"/>
  <c r="L94" i="14"/>
  <c r="K94" i="14"/>
  <c r="J94" i="14"/>
  <c r="E94" i="14"/>
  <c r="O93" i="14"/>
  <c r="N93" i="14"/>
  <c r="M93" i="14"/>
  <c r="L93" i="14"/>
  <c r="K93" i="14"/>
  <c r="J93" i="14"/>
  <c r="E93" i="14"/>
  <c r="E81" i="14"/>
  <c r="J81" i="14"/>
  <c r="K81" i="14"/>
  <c r="L81" i="14"/>
  <c r="M81" i="14"/>
  <c r="N81" i="14"/>
  <c r="O81" i="14"/>
  <c r="E82" i="14"/>
  <c r="J82" i="14"/>
  <c r="K82" i="14"/>
  <c r="L82" i="14"/>
  <c r="M82" i="14"/>
  <c r="N82" i="14"/>
  <c r="O82" i="14"/>
  <c r="E83" i="14"/>
  <c r="J83" i="14"/>
  <c r="K83" i="14"/>
  <c r="L83" i="14"/>
  <c r="M83" i="14"/>
  <c r="N83" i="14"/>
  <c r="O83" i="14"/>
  <c r="E84" i="14"/>
  <c r="J84" i="14"/>
  <c r="K84" i="14"/>
  <c r="L84" i="14"/>
  <c r="M84" i="14"/>
  <c r="N84" i="14"/>
  <c r="O84" i="14"/>
  <c r="E85" i="14"/>
  <c r="J85" i="14"/>
  <c r="K85" i="14"/>
  <c r="L85" i="14"/>
  <c r="M85" i="14"/>
  <c r="N85" i="14"/>
  <c r="O85" i="14"/>
  <c r="E87" i="14"/>
  <c r="J87" i="14"/>
  <c r="K87" i="14"/>
  <c r="L87" i="14"/>
  <c r="M87" i="14"/>
  <c r="N87" i="14"/>
  <c r="O87" i="14"/>
  <c r="O88" i="14"/>
  <c r="N88" i="14"/>
  <c r="M88" i="14"/>
  <c r="L88" i="14"/>
  <c r="K88" i="14"/>
  <c r="J88" i="14"/>
  <c r="E88" i="14"/>
  <c r="O79" i="14"/>
  <c r="N79" i="14"/>
  <c r="M79" i="14"/>
  <c r="L79" i="14"/>
  <c r="K79" i="14"/>
  <c r="J79" i="14"/>
  <c r="E79" i="14"/>
  <c r="O78" i="14"/>
  <c r="N78" i="14"/>
  <c r="M78" i="14"/>
  <c r="L78" i="14"/>
  <c r="K78" i="14"/>
  <c r="J78" i="14"/>
  <c r="E78" i="14"/>
  <c r="O77" i="14"/>
  <c r="N77" i="14"/>
  <c r="M77" i="14"/>
  <c r="L77" i="14"/>
  <c r="K77" i="14"/>
  <c r="J77" i="14"/>
  <c r="E77" i="14"/>
  <c r="O76" i="14"/>
  <c r="N76" i="14"/>
  <c r="M76" i="14"/>
  <c r="L76" i="14"/>
  <c r="K76" i="14"/>
  <c r="J76" i="14"/>
  <c r="E76" i="14"/>
  <c r="O75" i="14"/>
  <c r="N75" i="14"/>
  <c r="M75" i="14"/>
  <c r="L75" i="14"/>
  <c r="K75" i="14"/>
  <c r="J75" i="14"/>
  <c r="E75" i="14"/>
  <c r="O74" i="14"/>
  <c r="N74" i="14"/>
  <c r="M74" i="14"/>
  <c r="L74" i="14"/>
  <c r="K74" i="14"/>
  <c r="J74" i="14"/>
  <c r="E74" i="14"/>
  <c r="O73" i="14"/>
  <c r="N73" i="14"/>
  <c r="M73" i="14"/>
  <c r="L73" i="14"/>
  <c r="K73" i="14"/>
  <c r="J73" i="14"/>
  <c r="E73" i="14"/>
  <c r="E86" i="14" l="1"/>
  <c r="P86" i="14"/>
  <c r="L86" i="14"/>
  <c r="M86" i="14"/>
  <c r="O86" i="14"/>
  <c r="K86" i="14"/>
  <c r="N86" i="14"/>
  <c r="J86" i="14"/>
  <c r="O68" i="14"/>
  <c r="N68" i="14"/>
  <c r="M68" i="14"/>
  <c r="L68" i="14"/>
  <c r="K68" i="14"/>
  <c r="J68" i="14"/>
  <c r="H68" i="14"/>
  <c r="E68" i="14"/>
  <c r="O67" i="14"/>
  <c r="N67" i="14"/>
  <c r="M67" i="14"/>
  <c r="L67" i="14"/>
  <c r="K67" i="14"/>
  <c r="J67" i="14"/>
  <c r="H67" i="14"/>
  <c r="E67" i="14"/>
  <c r="O66" i="14"/>
  <c r="N66" i="14"/>
  <c r="M66" i="14"/>
  <c r="L66" i="14"/>
  <c r="K66" i="14"/>
  <c r="J66" i="14"/>
  <c r="H66" i="14"/>
  <c r="E66" i="14"/>
  <c r="O65" i="14"/>
  <c r="N65" i="14"/>
  <c r="M65" i="14"/>
  <c r="L65" i="14"/>
  <c r="K65" i="14"/>
  <c r="J65" i="14"/>
  <c r="H65" i="14"/>
  <c r="E65" i="14"/>
  <c r="O64" i="14"/>
  <c r="N64" i="14"/>
  <c r="M64" i="14"/>
  <c r="L64" i="14"/>
  <c r="K64" i="14"/>
  <c r="J64" i="14"/>
  <c r="H64" i="14"/>
  <c r="E64" i="14"/>
  <c r="O62" i="14"/>
  <c r="N62" i="14"/>
  <c r="M62" i="14"/>
  <c r="L62" i="14"/>
  <c r="K62" i="14"/>
  <c r="J62" i="14"/>
  <c r="H62" i="14"/>
  <c r="E62" i="14"/>
  <c r="O61" i="14"/>
  <c r="N61" i="14"/>
  <c r="M61" i="14"/>
  <c r="L61" i="14"/>
  <c r="K61" i="14"/>
  <c r="J61" i="14"/>
  <c r="H61" i="14"/>
  <c r="E61" i="14"/>
  <c r="O60" i="14"/>
  <c r="N60" i="14"/>
  <c r="M60" i="14"/>
  <c r="L60" i="14"/>
  <c r="K60" i="14"/>
  <c r="J60" i="14"/>
  <c r="H60" i="14"/>
  <c r="E60" i="14"/>
  <c r="O57" i="14"/>
  <c r="N57" i="14"/>
  <c r="M57" i="14"/>
  <c r="L57" i="14"/>
  <c r="K57" i="14"/>
  <c r="J57" i="14"/>
  <c r="H57" i="14"/>
  <c r="E57" i="14"/>
  <c r="O56" i="14"/>
  <c r="N56" i="14"/>
  <c r="M56" i="14"/>
  <c r="L56" i="14"/>
  <c r="K56" i="14"/>
  <c r="J56" i="14"/>
  <c r="H56" i="14"/>
  <c r="E56" i="14"/>
  <c r="O55" i="14"/>
  <c r="N55" i="14"/>
  <c r="M55" i="14"/>
  <c r="L55" i="14"/>
  <c r="K55" i="14"/>
  <c r="J55" i="14"/>
  <c r="H55" i="14"/>
  <c r="E55" i="14"/>
  <c r="O54" i="14"/>
  <c r="N54" i="14"/>
  <c r="M54" i="14"/>
  <c r="L54" i="14"/>
  <c r="K54" i="14"/>
  <c r="J54" i="14"/>
  <c r="H54" i="14"/>
  <c r="E54" i="14"/>
  <c r="O52" i="14"/>
  <c r="N52" i="14"/>
  <c r="M52" i="14"/>
  <c r="L52" i="14"/>
  <c r="K52" i="14"/>
  <c r="J52" i="14"/>
  <c r="H52" i="14"/>
  <c r="E52" i="14"/>
  <c r="O48" i="14"/>
  <c r="N48" i="14"/>
  <c r="M48" i="14"/>
  <c r="L48" i="14"/>
  <c r="K48" i="14"/>
  <c r="J48" i="14"/>
  <c r="H48" i="14"/>
  <c r="E48" i="14"/>
  <c r="O47" i="14"/>
  <c r="N47" i="14"/>
  <c r="M47" i="14"/>
  <c r="L47" i="14"/>
  <c r="K47" i="14"/>
  <c r="J47" i="14"/>
  <c r="H47" i="14"/>
  <c r="E47" i="14"/>
  <c r="O46" i="14"/>
  <c r="N46" i="14"/>
  <c r="M46" i="14"/>
  <c r="L46" i="14"/>
  <c r="K46" i="14"/>
  <c r="J46" i="14"/>
  <c r="H46" i="14"/>
  <c r="E46" i="14"/>
  <c r="O45" i="14"/>
  <c r="N45" i="14"/>
  <c r="M45" i="14"/>
  <c r="L45" i="14"/>
  <c r="K45" i="14"/>
  <c r="J45" i="14"/>
  <c r="H45" i="14"/>
  <c r="E45" i="14"/>
  <c r="O44" i="14"/>
  <c r="N44" i="14"/>
  <c r="M44" i="14"/>
  <c r="L44" i="14"/>
  <c r="K44" i="14"/>
  <c r="J44" i="14"/>
  <c r="H44" i="14"/>
  <c r="E44" i="14"/>
  <c r="O43" i="14"/>
  <c r="N43" i="14"/>
  <c r="M43" i="14"/>
  <c r="L43" i="14"/>
  <c r="K43" i="14"/>
  <c r="J43" i="14"/>
  <c r="H43" i="14"/>
  <c r="E43" i="14"/>
  <c r="O41" i="14"/>
  <c r="N41" i="14"/>
  <c r="M41" i="14"/>
  <c r="L41" i="14"/>
  <c r="K41" i="14"/>
  <c r="J41" i="14"/>
  <c r="H41" i="14"/>
  <c r="E41" i="14"/>
  <c r="O40" i="14"/>
  <c r="N40" i="14"/>
  <c r="M40" i="14"/>
  <c r="L40" i="14"/>
  <c r="K40" i="14"/>
  <c r="J40" i="14"/>
  <c r="H40" i="14"/>
  <c r="E40" i="14"/>
  <c r="K59" i="14" l="1"/>
  <c r="M59" i="14"/>
  <c r="O59" i="14"/>
  <c r="H63" i="14"/>
  <c r="H59" i="14"/>
  <c r="J59" i="14"/>
  <c r="L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M37" i="14"/>
  <c r="L37" i="14"/>
  <c r="K37" i="14"/>
  <c r="J37" i="14"/>
  <c r="H37" i="14"/>
  <c r="E37" i="14"/>
  <c r="O36" i="14"/>
  <c r="N36" i="14"/>
  <c r="M36" i="14"/>
  <c r="L36" i="14"/>
  <c r="K36" i="14"/>
  <c r="J36" i="14"/>
  <c r="H36" i="14"/>
  <c r="E36" i="14"/>
  <c r="O35" i="14"/>
  <c r="N35" i="14"/>
  <c r="M35" i="14"/>
  <c r="L35" i="14"/>
  <c r="K35" i="14"/>
  <c r="J35" i="14"/>
  <c r="H35" i="14"/>
  <c r="E35" i="14"/>
  <c r="O34" i="14"/>
  <c r="N34" i="14"/>
  <c r="M34" i="14"/>
  <c r="L34" i="14"/>
  <c r="K34" i="14"/>
  <c r="J34" i="14"/>
  <c r="H34" i="14"/>
  <c r="E34" i="14"/>
  <c r="O32" i="14"/>
  <c r="N32" i="14"/>
  <c r="M32" i="14"/>
  <c r="L32" i="14"/>
  <c r="K32" i="14"/>
  <c r="J32" i="14"/>
  <c r="H32" i="14"/>
  <c r="E32" i="14"/>
  <c r="O31" i="14"/>
  <c r="N31" i="14"/>
  <c r="M31" i="14"/>
  <c r="L31" i="14"/>
  <c r="K31" i="14"/>
  <c r="J31" i="14"/>
  <c r="H31" i="14"/>
  <c r="E31" i="14"/>
  <c r="O29" i="14"/>
  <c r="N29" i="14"/>
  <c r="M29" i="14"/>
  <c r="L29" i="14"/>
  <c r="K29" i="14"/>
  <c r="J29" i="14"/>
  <c r="H29" i="14"/>
  <c r="E29" i="14"/>
  <c r="O28" i="14"/>
  <c r="N28" i="14"/>
  <c r="M28" i="14"/>
  <c r="L28" i="14"/>
  <c r="K28" i="14"/>
  <c r="J28" i="14"/>
  <c r="H28" i="14"/>
  <c r="E28" i="14"/>
  <c r="O27" i="14"/>
  <c r="N27" i="14"/>
  <c r="M27" i="14"/>
  <c r="L27" i="14"/>
  <c r="K27" i="14"/>
  <c r="J27" i="14"/>
  <c r="H27" i="14"/>
  <c r="E27" i="14"/>
  <c r="O26" i="14"/>
  <c r="N26" i="14"/>
  <c r="M26" i="14"/>
  <c r="L26" i="14"/>
  <c r="K26" i="14"/>
  <c r="J26" i="14"/>
  <c r="H26" i="14"/>
  <c r="E26" i="14"/>
  <c r="O25" i="14"/>
  <c r="N25" i="14"/>
  <c r="M25" i="14"/>
  <c r="L25" i="14"/>
  <c r="K25" i="14"/>
  <c r="J25" i="14"/>
  <c r="H25" i="14"/>
  <c r="E25" i="14"/>
  <c r="O24" i="14"/>
  <c r="N24" i="14"/>
  <c r="M24" i="14"/>
  <c r="L24" i="14"/>
  <c r="K24" i="14"/>
  <c r="J24" i="14"/>
  <c r="H24" i="14"/>
  <c r="E24" i="14"/>
  <c r="O22" i="14"/>
  <c r="N22" i="14"/>
  <c r="M22" i="14"/>
  <c r="L22" i="14"/>
  <c r="K22" i="14"/>
  <c r="J22" i="14"/>
  <c r="H22" i="14"/>
  <c r="E22" i="14"/>
  <c r="O21" i="14"/>
  <c r="N21" i="14"/>
  <c r="M21" i="14"/>
  <c r="L21" i="14"/>
  <c r="K21" i="14"/>
  <c r="J21" i="14"/>
  <c r="H21" i="14"/>
  <c r="E21" i="14"/>
  <c r="O20" i="14"/>
  <c r="N20" i="14"/>
  <c r="M20" i="14"/>
  <c r="L20" i="14"/>
  <c r="K20" i="14"/>
  <c r="J20" i="14"/>
  <c r="H20" i="14"/>
  <c r="E20" i="14"/>
  <c r="O18" i="14"/>
  <c r="N18" i="14"/>
  <c r="M18" i="14"/>
  <c r="L18" i="14"/>
  <c r="K18" i="14"/>
  <c r="J18" i="14"/>
  <c r="H18" i="14"/>
  <c r="E18" i="14"/>
  <c r="O17" i="14"/>
  <c r="N17" i="14"/>
  <c r="M17" i="14"/>
  <c r="L17" i="14"/>
  <c r="K17" i="14"/>
  <c r="J17" i="14"/>
  <c r="H17" i="14"/>
  <c r="E17" i="14"/>
  <c r="O16" i="14"/>
  <c r="N16" i="14"/>
  <c r="M16" i="14"/>
  <c r="L16" i="14"/>
  <c r="K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I28" i="14" s="1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M14" i="14"/>
  <c r="L14" i="14"/>
  <c r="K14" i="14"/>
  <c r="J14" i="14"/>
  <c r="I14" i="14"/>
  <c r="H14" i="14"/>
  <c r="F14" i="14"/>
  <c r="O13" i="14"/>
  <c r="N13" i="14"/>
  <c r="M13" i="14"/>
  <c r="K13" i="14"/>
  <c r="J13" i="14"/>
  <c r="I13" i="14"/>
  <c r="H13" i="14"/>
  <c r="F13" i="14"/>
  <c r="E13" i="14"/>
  <c r="O12" i="14"/>
  <c r="N12" i="14"/>
  <c r="M12" i="14"/>
  <c r="K12" i="14"/>
  <c r="J12" i="14"/>
  <c r="I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I10" i="14"/>
  <c r="H10" i="14"/>
  <c r="F10" i="14"/>
  <c r="O8" i="14"/>
  <c r="N8" i="14"/>
  <c r="M8" i="14"/>
  <c r="K8" i="14"/>
  <c r="J8" i="14"/>
  <c r="I8" i="14"/>
  <c r="H8" i="14"/>
  <c r="F8" i="14"/>
  <c r="E8" i="14"/>
  <c r="O7" i="14"/>
  <c r="N7" i="14"/>
  <c r="M7" i="14"/>
  <c r="K7" i="14"/>
  <c r="J7" i="14"/>
  <c r="I7" i="14"/>
  <c r="H7" i="14"/>
  <c r="F7" i="14"/>
  <c r="O6" i="14"/>
  <c r="N6" i="14"/>
  <c r="M6" i="14"/>
  <c r="L6" i="14"/>
  <c r="K6" i="14"/>
  <c r="J6" i="14"/>
  <c r="I6" i="14"/>
  <c r="H6" i="14"/>
  <c r="F6" i="14"/>
  <c r="E6" i="14"/>
  <c r="D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6" i="14" l="1"/>
  <c r="I21" i="14"/>
  <c r="I26" i="14"/>
  <c r="I36" i="14"/>
  <c r="I18" i="14"/>
  <c r="I24" i="14"/>
  <c r="I31" i="14"/>
  <c r="I34" i="14"/>
  <c r="I81" i="14"/>
  <c r="I82" i="14"/>
  <c r="I83" i="14"/>
  <c r="I84" i="14"/>
  <c r="I85" i="14"/>
  <c r="I8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50" i="14"/>
  <c r="I67" i="14"/>
  <c r="I65" i="14"/>
  <c r="I62" i="14"/>
  <c r="I60" i="14"/>
  <c r="I56" i="14"/>
  <c r="I54" i="14"/>
  <c r="I48" i="14"/>
  <c r="I44" i="14"/>
  <c r="I68" i="14"/>
  <c r="I66" i="14"/>
  <c r="I64" i="14"/>
  <c r="I61" i="14"/>
  <c r="I57" i="14"/>
  <c r="I55" i="14"/>
  <c r="I52" i="14"/>
  <c r="I47" i="14"/>
  <c r="I45" i="14"/>
  <c r="I43" i="14"/>
  <c r="I40" i="14"/>
  <c r="I46" i="14"/>
  <c r="I41" i="14"/>
  <c r="I17" i="14"/>
  <c r="I20" i="14"/>
  <c r="I22" i="14"/>
  <c r="I25" i="14"/>
  <c r="I27" i="14"/>
  <c r="I29" i="14"/>
  <c r="I32" i="14"/>
  <c r="I35" i="14"/>
  <c r="I37" i="14"/>
  <c r="F108" i="14"/>
  <c r="F105" i="14"/>
  <c r="F103" i="14"/>
  <c r="F101" i="14"/>
  <c r="F98" i="14"/>
  <c r="F96" i="14"/>
  <c r="F94" i="14"/>
  <c r="F81" i="14"/>
  <c r="F83" i="14"/>
  <c r="F85" i="14"/>
  <c r="F88" i="14"/>
  <c r="F78" i="14"/>
  <c r="F76" i="14"/>
  <c r="F107" i="14"/>
  <c r="F104" i="14"/>
  <c r="F102" i="14"/>
  <c r="F99" i="14"/>
  <c r="F97" i="14"/>
  <c r="F95" i="14"/>
  <c r="F93" i="14"/>
  <c r="F82" i="14"/>
  <c r="F84" i="14"/>
  <c r="F87" i="14"/>
  <c r="F86" i="14" s="1"/>
  <c r="F79" i="14"/>
  <c r="F77" i="14"/>
  <c r="F75" i="14"/>
  <c r="F74" i="14"/>
  <c r="F73" i="14"/>
  <c r="F50" i="14"/>
  <c r="F49" i="14" s="1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47" i="14"/>
  <c r="F46" i="14"/>
  <c r="F44" i="14"/>
  <c r="F43" i="14"/>
  <c r="F48" i="14"/>
  <c r="F45" i="14"/>
  <c r="F41" i="14"/>
  <c r="F40" i="14"/>
  <c r="F16" i="14"/>
  <c r="F17" i="14"/>
  <c r="F18" i="14"/>
  <c r="F20" i="14"/>
  <c r="F21" i="14"/>
  <c r="F22" i="14"/>
  <c r="F24" i="14"/>
  <c r="F25" i="14"/>
  <c r="F26" i="14"/>
  <c r="F27" i="14"/>
  <c r="F28" i="14"/>
  <c r="F29" i="14"/>
  <c r="F31" i="14"/>
  <c r="F32" i="14"/>
  <c r="F34" i="14"/>
  <c r="F35" i="14"/>
  <c r="F36" i="14"/>
  <c r="F37" i="14"/>
  <c r="D7" i="14"/>
  <c r="D28" i="14"/>
  <c r="G36" i="14"/>
  <c r="G16" i="14"/>
  <c r="G18" i="14"/>
  <c r="G21" i="14"/>
  <c r="G24" i="14"/>
  <c r="G26" i="14"/>
  <c r="G28" i="14"/>
  <c r="G31" i="14"/>
  <c r="G34" i="14"/>
  <c r="G50" i="14"/>
  <c r="G68" i="14"/>
  <c r="G66" i="14"/>
  <c r="G64" i="14"/>
  <c r="G61" i="14"/>
  <c r="G57" i="14"/>
  <c r="G55" i="14"/>
  <c r="G52" i="14"/>
  <c r="G48" i="14"/>
  <c r="G46" i="14"/>
  <c r="G44" i="14"/>
  <c r="G41" i="14"/>
  <c r="G67" i="14"/>
  <c r="G65" i="14"/>
  <c r="G62" i="14"/>
  <c r="G60" i="14"/>
  <c r="G56" i="14"/>
  <c r="G54" i="14"/>
  <c r="G47" i="14"/>
  <c r="G45" i="14"/>
  <c r="G43" i="14"/>
  <c r="G40" i="14"/>
  <c r="G17" i="14"/>
  <c r="G20" i="14"/>
  <c r="G22" i="14"/>
  <c r="G25" i="14"/>
  <c r="G27" i="14"/>
  <c r="G29" i="14"/>
  <c r="G32" i="14"/>
  <c r="G35" i="14"/>
  <c r="G37" i="14"/>
  <c r="D40" i="14"/>
  <c r="D50" i="14"/>
  <c r="D49" i="14" s="1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79" i="14"/>
  <c r="G78" i="14"/>
  <c r="G77" i="14"/>
  <c r="G76" i="14"/>
  <c r="G75" i="14"/>
  <c r="G73" i="14"/>
  <c r="G81" i="14"/>
  <c r="G82" i="14"/>
  <c r="G83" i="14"/>
  <c r="G84" i="14"/>
  <c r="G85" i="14"/>
  <c r="G87" i="14"/>
  <c r="G86" i="14" s="1"/>
  <c r="G74" i="14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I86" i="14" l="1"/>
  <c r="I59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L91" i="14"/>
  <c r="P91" i="14"/>
  <c r="P81" i="13" s="1"/>
  <c r="D71" i="14"/>
  <c r="H81" i="13"/>
  <c r="L81" i="13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<sst xmlns="http://schemas.openxmlformats.org/spreadsheetml/2006/main" count="3263" uniqueCount="1675">
  <si>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</si>
  <si>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</si>
  <si>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</si>
  <si>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</si>
  <si>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</si>
  <si>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</si>
  <si>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</si>
  <si>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</si>
  <si>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</si>
  <si>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</si>
  <si>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</si>
  <si>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</si>
  <si>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</si>
  <si>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</si>
  <si>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</si>
  <si>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</si>
  <si>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</si>
  <si>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</si>
  <si>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</si>
  <si>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</si>
  <si>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</si>
  <si>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</si>
  <si>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</si>
  <si>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</si>
  <si>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</si>
  <si>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</si>
  <si>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</si>
  <si>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</si>
  <si>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</si>
  <si>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</si>
  <si>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</si>
  <si>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</si>
  <si>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</si>
  <si>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</si>
  <si>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</si>
  <si>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</si>
  <si>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</si>
  <si>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</si>
  <si>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</si>
  <si>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</si>
  <si>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</si>
  <si>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</si>
  <si>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</si>
  <si>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</si>
  <si>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</si>
  <si>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</si>
  <si>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</si>
  <si>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</si>
  <si>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</si>
  <si>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</si>
  <si>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</si>
  <si>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</si>
  <si>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</si>
  <si>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</si>
  <si>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</si>
  <si>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</si>
  <si>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</si>
  <si>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</si>
  <si>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</si>
  <si>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</si>
  <si>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</si>
  <si>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</si>
  <si>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</si>
  <si>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</si>
  <si>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</si>
  <si>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</si>
  <si>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</si>
  <si>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</si>
  <si>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</si>
  <si>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</si>
  <si>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</si>
  <si>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</si>
  <si>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</si>
  <si>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</si>
  <si>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</si>
  <si>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</si>
  <si>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</si>
  <si>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</si>
  <si>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</si>
  <si>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</si>
  <si>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</si>
  <si>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</si>
  <si>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</si>
  <si>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</si>
  <si>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</si>
  <si>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</si>
  <si>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</si>
  <si>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</si>
  <si>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</si>
  <si>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</si>
  <si>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</si>
  <si>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</si>
  <si>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</si>
  <si>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</si>
  <si>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</si>
  <si>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</si>
  <si>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</si>
  <si>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</si>
  <si>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</si>
  <si>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</si>
  <si>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</si>
  <si>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</si>
  <si>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</si>
  <si>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</si>
  <si>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</si>
  <si>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</si>
  <si>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</si>
  <si>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</si>
  <si>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</si>
  <si>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</si>
  <si>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</si>
  <si>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</si>
  <si>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</si>
  <si>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</si>
  <si>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</si>
  <si>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</si>
  <si>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</si>
  <si>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</si>
  <si>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</si>
  <si>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</si>
  <si>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</si>
  <si>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</si>
  <si>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</si>
  <si>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</si>
  <si>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</si>
  <si>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</si>
  <si>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</si>
  <si>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</si>
  <si>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</si>
  <si>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</si>
  <si>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</si>
  <si>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</si>
  <si>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</si>
  <si>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</si>
  <si>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</si>
  <si>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</si>
  <si>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</si>
  <si>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</si>
  <si>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</si>
  <si>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</si>
  <si>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</si>
  <si>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</si>
  <si>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</si>
  <si>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</si>
  <si>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</si>
  <si>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</si>
  <si>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</si>
  <si>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</si>
  <si>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</si>
  <si>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</si>
  <si>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</si>
  <si>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</si>
  <si>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</si>
  <si>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</si>
  <si>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</si>
  <si>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</si>
  <si>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</si>
  <si>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</si>
  <si>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</si>
  <si>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</si>
  <si>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</si>
  <si>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</si>
  <si>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</si>
  <si>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</si>
  <si>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</si>
  <si>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</si>
  <si>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</si>
  <si>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</si>
  <si>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</si>
  <si>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</si>
  <si>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</si>
  <si>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</si>
  <si>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</si>
  <si>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</si>
  <si>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</si>
  <si>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</si>
  <si>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</si>
  <si>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</si>
  <si>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</si>
  <si>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</si>
  <si>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</si>
  <si>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</si>
  <si>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</si>
  <si>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</si>
  <si>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</si>
  <si>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</si>
  <si>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</si>
  <si>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</si>
  <si>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</si>
  <si>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</si>
  <si>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</si>
  <si>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</si>
  <si>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</si>
  <si>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</si>
  <si>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</si>
  <si>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</si>
  <si>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</si>
  <si>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</si>
  <si>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</si>
  <si>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</si>
  <si>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</si>
  <si>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</si>
  <si>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</si>
  <si>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</si>
  <si>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</si>
  <si>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</si>
  <si>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</si>
  <si>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</si>
  <si>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</si>
  <si>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</si>
  <si>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</si>
  <si>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</si>
  <si>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</si>
  <si>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</si>
  <si>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</si>
  <si>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</si>
  <si>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</si>
  <si>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</si>
  <si>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</si>
  <si>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</si>
  <si>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</si>
  <si>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</si>
  <si>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</si>
  <si>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</si>
  <si>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</si>
  <si>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</si>
  <si>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</si>
  <si>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</si>
  <si>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</si>
  <si>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</si>
  <si>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</si>
  <si>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</si>
  <si>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</si>
  <si>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</si>
  <si>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</si>
  <si>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</si>
  <si>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</si>
  <si>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</si>
  <si>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</si>
  <si>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</si>
  <si>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</si>
  <si>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</si>
  <si>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</si>
  <si>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</si>
  <si>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</si>
  <si>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</si>
  <si>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</si>
  <si>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</si>
  <si>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</si>
  <si>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</si>
  <si>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</si>
  <si>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</si>
  <si>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</si>
  <si>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</si>
  <si>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</si>
  <si>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</si>
  <si>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</si>
  <si>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</si>
  <si>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</si>
  <si>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</si>
  <si>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</si>
  <si>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</si>
  <si>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</si>
  <si>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</si>
  <si>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</si>
  <si>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</si>
  <si>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</si>
  <si>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</si>
  <si>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</si>
  <si>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</si>
  <si>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</si>
  <si>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</si>
  <si>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</si>
  <si>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</si>
  <si>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</si>
  <si>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</si>
  <si>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</si>
  <si>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</si>
  <si>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</si>
  <si>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</si>
  <si>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</si>
  <si>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</si>
  <si>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</si>
  <si>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</si>
  <si>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</si>
  <si>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</si>
  <si>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</si>
  <si>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</si>
  <si>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</si>
  <si>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</si>
  <si>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</si>
  <si>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</si>
  <si>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</si>
  <si>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</si>
  <si>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</si>
  <si>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</si>
  <si>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</si>
  <si>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</si>
  <si>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</si>
  <si>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</si>
  <si>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</si>
  <si>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</si>
  <si>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</si>
  <si>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</si>
  <si>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</si>
  <si>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</si>
  <si>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</si>
  <si>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</si>
  <si>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</si>
  <si>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</si>
  <si>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</si>
  <si>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</si>
  <si>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</si>
  <si>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</si>
  <si>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</si>
  <si>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</si>
  <si>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</si>
  <si>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</si>
  <si>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</si>
  <si>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</si>
  <si>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</si>
  <si>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</si>
  <si>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</si>
  <si>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</si>
  <si>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</si>
  <si>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</si>
  <si>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</si>
  <si>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</si>
  <si>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</si>
  <si>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</si>
  <si>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</si>
  <si>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</si>
  <si>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</si>
  <si>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</si>
  <si>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</si>
  <si>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</si>
  <si>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</si>
  <si>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</si>
  <si>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</si>
  <si>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</si>
  <si>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</si>
  <si>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</si>
  <si>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</si>
  <si>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</si>
  <si>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</si>
  <si>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</si>
  <si>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</si>
  <si>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</si>
  <si>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</si>
  <si>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</si>
  <si>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</si>
  <si>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</si>
  <si>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</si>
  <si>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</si>
  <si>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</si>
  <si>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</si>
  <si>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</si>
  <si>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</si>
  <si>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</si>
  <si>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</si>
  <si>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</si>
  <si>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</si>
  <si>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</si>
  <si>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</si>
  <si>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</si>
  <si>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</si>
  <si>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</si>
  <si>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</si>
  <si>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</si>
  <si>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</si>
  <si>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</si>
  <si>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</si>
  <si>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</si>
  <si>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</si>
  <si>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</si>
  <si>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</si>
  <si>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</si>
  <si>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</si>
  <si>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</si>
  <si>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</si>
  <si>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</si>
  <si>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</si>
  <si>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</si>
  <si>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</si>
  <si>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</si>
  <si>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</si>
  <si>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</si>
  <si>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</si>
  <si>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</si>
  <si>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</si>
  <si>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</si>
  <si>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</si>
  <si>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</si>
  <si>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</si>
  <si>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</si>
  <si>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</si>
  <si>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</si>
  <si>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</si>
  <si>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</si>
  <si>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</si>
  <si>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</si>
  <si>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</si>
  <si>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</si>
  <si>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</si>
  <si>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</si>
  <si>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</si>
  <si>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</si>
  <si>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</si>
  <si>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</si>
  <si>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</si>
  <si>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</si>
  <si>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</si>
  <si>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</si>
  <si>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</si>
  <si>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</si>
  <si>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</si>
  <si>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</si>
  <si>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</si>
  <si>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</si>
  <si>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</si>
  <si>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</si>
  <si>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</si>
  <si>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</si>
  <si>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</si>
  <si>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</si>
  <si>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</si>
  <si>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</si>
  <si>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</si>
  <si>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</si>
  <si>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</si>
  <si>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</si>
  <si>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</si>
  <si>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</si>
  <si>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</si>
  <si>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</si>
  <si>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</si>
  <si>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</si>
  <si>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</si>
  <si>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</si>
  <si>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</si>
  <si>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</si>
  <si>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</si>
  <si>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</si>
  <si>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</si>
  <si>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</si>
  <si>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</si>
  <si>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</si>
  <si>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</si>
  <si>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</si>
  <si>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</si>
  <si>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</si>
  <si>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</si>
  <si>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</si>
  <si>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</si>
  <si>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</si>
  <si>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</si>
  <si>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</si>
  <si>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</si>
  <si>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</si>
  <si>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</si>
  <si>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</si>
  <si>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</si>
  <si>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</si>
  <si>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</si>
  <si>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</si>
  <si>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</si>
  <si>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</si>
  <si>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</si>
  <si>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</si>
  <si>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</si>
  <si>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</si>
  <si>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</si>
  <si>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</si>
  <si>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</si>
  <si>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</si>
  <si>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</si>
  <si>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</si>
  <si>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</si>
  <si>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</si>
  <si>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</si>
  <si>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</si>
  <si>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</si>
  <si>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</si>
  <si>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</si>
  <si>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</si>
  <si>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</si>
  <si>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</si>
  <si>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</si>
  <si>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</si>
  <si>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</si>
  <si>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</si>
  <si>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</si>
  <si>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</si>
  <si>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</si>
  <si>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</si>
  <si>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</si>
  <si>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</si>
  <si>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</si>
  <si>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</si>
  <si>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</si>
  <si>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</si>
  <si>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</si>
  <si>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</si>
  <si>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</si>
  <si>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</si>
  <si>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</si>
  <si>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</si>
  <si>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</si>
  <si>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</si>
  <si>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</si>
  <si>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</si>
  <si>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</si>
  <si>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</si>
  <si>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</si>
  <si>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</si>
  <si>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</si>
  <si>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</si>
  <si>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</si>
  <si>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</si>
  <si>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</si>
  <si>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</si>
  <si>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</si>
  <si>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</si>
  <si>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</si>
  <si>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</si>
  <si>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</si>
  <si>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</si>
  <si>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</si>
  <si>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</si>
  <si>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</si>
  <si>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</si>
  <si>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</si>
  <si>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</si>
  <si>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</si>
  <si>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</si>
  <si>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</si>
  <si>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</si>
  <si>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</si>
  <si>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</si>
  <si>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</si>
  <si>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</si>
  <si>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</si>
  <si>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</si>
  <si>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</si>
  <si>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</si>
  <si>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</si>
  <si>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</si>
  <si>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</si>
  <si>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</si>
  <si>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</si>
  <si>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</si>
  <si>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</si>
  <si>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</si>
  <si>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</si>
  <si>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</si>
  <si>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</si>
  <si>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</si>
  <si>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</si>
  <si>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</si>
  <si>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</si>
  <si>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</si>
  <si>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</si>
  <si>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</si>
  <si>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</si>
  <si>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</si>
  <si>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</si>
  <si>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</si>
  <si>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</si>
  <si>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</si>
  <si>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</si>
  <si>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</si>
  <si>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</si>
  <si>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</si>
  <si>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</si>
  <si>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</si>
  <si>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</si>
  <si>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</si>
  <si>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</si>
  <si>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</si>
  <si>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</si>
  <si>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</si>
  <si>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</si>
  <si>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</si>
  <si>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</si>
  <si>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</si>
  <si>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</si>
  <si>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</si>
  <si>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</si>
  <si>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</si>
  <si>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</si>
  <si>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</si>
  <si>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</si>
  <si>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</si>
  <si>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</si>
  <si>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</si>
  <si>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</si>
  <si>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</si>
  <si>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</si>
  <si>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</si>
  <si>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</si>
  <si>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</si>
  <si>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</si>
  <si>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</si>
  <si>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</si>
  <si>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</si>
  <si>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</si>
  <si>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</si>
  <si>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</si>
  <si>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</si>
  <si>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</si>
  <si>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</si>
  <si>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</si>
  <si>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</si>
  <si>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</si>
  <si>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</si>
  <si>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</si>
  <si>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</si>
  <si>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</si>
  <si>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</si>
  <si>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</si>
  <si>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</si>
  <si>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</si>
  <si>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</si>
  <si>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</si>
  <si>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</si>
  <si>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</si>
  <si>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</si>
  <si>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</si>
  <si>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</si>
  <si>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</si>
  <si>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</si>
  <si>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</si>
  <si>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</si>
  <si>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</si>
  <si>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</si>
  <si>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</si>
  <si>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</si>
  <si>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</si>
  <si>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</si>
  <si>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</si>
  <si>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</si>
  <si>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</si>
  <si>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</si>
  <si>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</si>
  <si>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</si>
  <si>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</si>
  <si>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</si>
  <si>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</si>
  <si>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</si>
  <si>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</si>
  <si>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</si>
  <si>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</si>
  <si>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</si>
  <si>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</si>
  <si>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</si>
  <si>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</si>
  <si>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</si>
  <si>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</si>
  <si>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</si>
  <si>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</si>
  <si>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</si>
  <si>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</si>
  <si>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</si>
  <si>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</si>
  <si>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</si>
  <si>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</si>
  <si>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</si>
  <si>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</si>
  <si>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</si>
  <si>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</si>
  <si>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</si>
  <si>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</si>
  <si>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</si>
  <si>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</si>
  <si>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</si>
  <si>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</si>
  <si>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</si>
  <si>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</si>
  <si>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</si>
  <si>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</si>
  <si>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</si>
  <si>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</si>
  <si>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</si>
  <si>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</si>
  <si>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</si>
  <si>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</si>
  <si>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</si>
  <si>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</si>
  <si>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</si>
  <si>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</si>
  <si>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</si>
  <si>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</si>
  <si>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</si>
  <si>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</si>
  <si>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</si>
  <si>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</si>
  <si>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</si>
  <si>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</si>
  <si>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</si>
  <si>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</si>
  <si>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</si>
  <si>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</si>
  <si>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</si>
  <si>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</si>
  <si>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</si>
  <si>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</si>
  <si>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</si>
  <si>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</si>
  <si>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</si>
  <si>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</si>
  <si>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</si>
  <si>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</si>
  <si>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</si>
  <si>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</si>
  <si>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</si>
  <si>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</si>
  <si>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</si>
  <si>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</si>
  <si>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</si>
  <si>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</si>
  <si>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</si>
  <si>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</si>
  <si>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</si>
  <si>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</si>
  <si>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</si>
  <si>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</si>
  <si>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</si>
  <si>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</si>
  <si>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</si>
  <si>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</si>
  <si>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</si>
  <si>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</si>
  <si>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</si>
  <si>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</si>
  <si>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</si>
  <si>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</si>
  <si>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</si>
  <si>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</si>
  <si>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</si>
  <si>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</si>
  <si>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</si>
  <si>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</si>
  <si>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</si>
  <si>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</si>
  <si>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</si>
  <si>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</si>
  <si>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</si>
  <si>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</si>
  <si>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</si>
  <si>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</si>
  <si>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</si>
  <si>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</si>
  <si>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</si>
  <si>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</si>
  <si>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</si>
  <si>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</si>
  <si>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</si>
  <si>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</si>
  <si>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</si>
  <si>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</si>
  <si>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</si>
  <si>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</si>
  <si>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</si>
  <si>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</si>
  <si>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</si>
  <si>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</si>
  <si>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</si>
  <si>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</si>
  <si>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</si>
  <si>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</si>
  <si>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</si>
  <si>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</si>
  <si>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</si>
  <si>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</si>
  <si>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</si>
  <si>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</si>
  <si>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</si>
  <si>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</si>
  <si>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</si>
  <si>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</si>
  <si>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</si>
  <si>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</si>
  <si>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</si>
  <si>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</si>
  <si>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</si>
  <si>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</si>
  <si>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</si>
  <si>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</si>
  <si>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</si>
  <si>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</si>
  <si>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</si>
  <si>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</si>
  <si>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</si>
  <si>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</si>
  <si>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</si>
  <si>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</si>
  <si>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</si>
  <si>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</si>
  <si>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</si>
  <si>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</si>
  <si>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</si>
  <si>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</si>
  <si>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</si>
  <si>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</si>
  <si>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</si>
  <si>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</si>
  <si>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</si>
  <si>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</si>
  <si>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</si>
  <si>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</si>
  <si>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</si>
  <si>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</si>
  <si>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</si>
  <si>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</si>
  <si>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</si>
  <si>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</si>
  <si>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</si>
  <si>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</si>
  <si>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</si>
  <si>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</si>
  <si>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</si>
  <si>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</si>
  <si>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</si>
  <si>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</si>
  <si>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</si>
  <si>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</si>
  <si>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</si>
  <si>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</si>
  <si>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</si>
  <si>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</si>
  <si>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</si>
  <si>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</si>
  <si>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</si>
  <si>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</si>
  <si>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</si>
  <si>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</si>
  <si>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</si>
  <si>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</si>
  <si>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</si>
  <si>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</si>
  <si>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</si>
  <si>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</si>
  <si>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</si>
  <si>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</si>
  <si>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</si>
  <si>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</si>
  <si>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</si>
  <si>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</si>
  <si>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</si>
  <si>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</si>
  <si>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</si>
  <si>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</si>
  <si>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</si>
  <si>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</si>
  <si>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</si>
  <si>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</si>
  <si>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</si>
  <si>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</si>
  <si>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</si>
  <si>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</si>
  <si>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</si>
  <si>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</si>
  <si>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</si>
  <si>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</si>
  <si>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</si>
  <si>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</si>
  <si>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</si>
  <si>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</si>
  <si>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</si>
  <si>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</si>
  <si>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</si>
  <si>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</si>
  <si>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</si>
  <si>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</si>
  <si>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</si>
  <si>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</si>
  <si>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</si>
  <si>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</si>
  <si>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</si>
  <si>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</si>
  <si>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</si>
  <si>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</si>
  <si>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</si>
  <si>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</si>
  <si>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</si>
  <si>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</si>
  <si>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</si>
  <si>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</si>
  <si>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</si>
  <si>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</si>
  <si>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</si>
  <si>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</si>
  <si>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</si>
  <si>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</si>
  <si>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</si>
  <si>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</si>
  <si>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</si>
  <si>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</si>
  <si>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</si>
  <si>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</si>
  <si>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</si>
  <si>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</si>
  <si>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</si>
  <si>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</si>
  <si>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</si>
  <si>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</si>
  <si>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</si>
  <si>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</si>
  <si>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</si>
  <si>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</si>
  <si>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</si>
  <si>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</si>
  <si>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</si>
  <si>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</si>
  <si>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</si>
  <si>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</si>
  <si>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</si>
  <si>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</si>
  <si>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</si>
  <si>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</si>
  <si>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</si>
  <si>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</si>
  <si>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</si>
  <si>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</si>
  <si>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</si>
  <si>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</si>
  <si>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</si>
  <si>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</si>
  <si>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</si>
  <si>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</si>
  <si>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</si>
  <si>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</si>
  <si>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</si>
  <si>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</si>
  <si>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</si>
  <si>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</si>
  <si>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</si>
  <si>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</si>
  <si>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</si>
  <si>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</si>
  <si>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</si>
  <si>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</si>
  <si>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</si>
  <si>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</si>
  <si>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</si>
  <si>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</si>
  <si>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</si>
  <si>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</si>
  <si>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</si>
  <si>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</si>
  <si>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</si>
  <si>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</si>
  <si>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</si>
  <si>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</si>
  <si>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</si>
  <si>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</si>
  <si>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</si>
  <si>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</si>
  <si>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</si>
  <si>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</si>
  <si>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</si>
  <si>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</si>
  <si>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</si>
  <si>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</si>
  <si>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</si>
  <si>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</si>
  <si>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</si>
  <si>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</si>
  <si>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</si>
  <si>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</si>
  <si>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</si>
  <si>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</si>
  <si>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</si>
  <si>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</si>
  <si>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</si>
  <si>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</si>
  <si>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</si>
  <si>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</si>
  <si>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</si>
  <si>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</si>
  <si>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</si>
  <si>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</si>
  <si>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</si>
  <si>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</si>
  <si>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</si>
  <si>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</si>
  <si>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</si>
  <si>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</si>
  <si>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</si>
  <si>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</si>
  <si>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</si>
  <si>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</si>
  <si>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</si>
  <si>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</si>
  <si>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</si>
  <si>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</si>
  <si>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</si>
  <si>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</si>
  <si>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</si>
  <si>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</si>
  <si>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</si>
  <si>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</si>
  <si>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</si>
  <si>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</si>
  <si>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</si>
  <si>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</si>
  <si>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</si>
  <si>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</si>
  <si>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</si>
  <si>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</si>
  <si>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</si>
  <si>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</si>
  <si>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</si>
  <si>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</si>
  <si>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</si>
  <si>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</si>
  <si>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</si>
  <si>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</si>
  <si>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</si>
  <si>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</si>
  <si>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</si>
  <si>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</si>
  <si>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</si>
  <si>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</si>
  <si>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</si>
  <si>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</si>
  <si>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</si>
  <si>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</si>
  <si>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</si>
  <si>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</si>
  <si>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</si>
  <si>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</si>
  <si>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</si>
  <si>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</si>
  <si>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</si>
  <si>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</si>
  <si>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</si>
  <si>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</si>
  <si>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</si>
  <si>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</si>
  <si>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</si>
  <si>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</si>
  <si>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</si>
  <si>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</si>
  <si>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</si>
  <si>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</si>
  <si>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</si>
  <si>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</si>
  <si>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</si>
  <si>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</si>
  <si>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</si>
  <si>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</si>
  <si>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</si>
  <si>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</si>
  <si>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</si>
  <si>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</si>
  <si>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</si>
  <si>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</si>
  <si>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</si>
  <si>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</si>
  <si>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</si>
  <si>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</si>
  <si>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</si>
  <si>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</si>
  <si>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</si>
  <si>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</si>
  <si>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</si>
  <si>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</si>
  <si>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</si>
  <si>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</si>
  <si>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</si>
  <si>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</si>
  <si>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</si>
  <si>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</si>
  <si>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</si>
  <si>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</si>
  <si>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</si>
  <si>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</si>
  <si>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</si>
  <si>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</si>
  <si>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</si>
  <si>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</si>
  <si>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</si>
  <si>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</si>
  <si>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</si>
  <si>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</si>
  <si>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</si>
  <si>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</si>
  <si>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</si>
  <si>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</si>
  <si>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</si>
  <si>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</si>
  <si>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</si>
  <si>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</si>
  <si>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</si>
  <si>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</si>
  <si>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</si>
  <si>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</si>
  <si>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</si>
  <si>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</si>
  <si>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</si>
  <si>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</si>
  <si>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</si>
  <si>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</si>
  <si>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</si>
  <si>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</si>
  <si>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</si>
  <si>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</si>
  <si>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</si>
  <si>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</si>
  <si>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</si>
  <si>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</si>
  <si>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</si>
  <si>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</si>
  <si>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</si>
  <si>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</si>
  <si>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</si>
  <si>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</si>
  <si>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</si>
  <si>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</si>
  <si>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</si>
  <si>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</si>
  <si>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</si>
  <si>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</si>
  <si>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</si>
  <si>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</si>
  <si>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</si>
  <si>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</si>
  <si>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</si>
  <si>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</si>
  <si>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</si>
  <si>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</si>
  <si>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</si>
  <si>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</si>
  <si>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</si>
  <si>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</si>
  <si>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</si>
  <si>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</si>
  <si>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</si>
  <si>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</si>
  <si>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</si>
  <si>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</si>
  <si>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</si>
  <si>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</si>
  <si>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</si>
  <si>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</si>
  <si>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</si>
  <si>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</si>
  <si>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</si>
  <si>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</si>
  <si>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</si>
  <si>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</si>
  <si>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</si>
  <si>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</si>
  <si>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</si>
  <si>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</si>
  <si>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</si>
  <si>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</si>
  <si>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</si>
  <si>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</si>
  <si>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</si>
  <si>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</si>
  <si>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</si>
  <si>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</si>
  <si>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</si>
  <si>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</si>
  <si>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</si>
  <si>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</si>
  <si>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</si>
  <si>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</si>
  <si>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</si>
  <si>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</si>
  <si>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</si>
  <si>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</si>
  <si>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</si>
  <si>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</si>
  <si>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</si>
  <si>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</si>
  <si>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</si>
  <si>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</si>
  <si>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</si>
  <si>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</si>
  <si>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</si>
  <si>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</si>
  <si>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</si>
  <si>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</si>
  <si>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</si>
  <si>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</si>
  <si>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</si>
  <si>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</si>
  <si>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</si>
  <si>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</si>
  <si>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</si>
  <si>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</si>
  <si>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</si>
  <si>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</si>
  <si>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</si>
  <si>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</si>
  <si>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</si>
  <si>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</si>
  <si>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</si>
  <si>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</si>
  <si>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</si>
  <si>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</si>
  <si>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</si>
  <si>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</si>
  <si>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</si>
  <si>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</si>
  <si>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</si>
  <si>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</si>
  <si>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</si>
  <si>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</si>
  <si>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</si>
  <si>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</si>
  <si>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</si>
  <si>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</si>
  <si>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</si>
  <si>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</si>
  <si>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</si>
  <si>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</si>
  <si>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</si>
  <si>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</si>
  <si>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</si>
  <si>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</si>
  <si>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</si>
  <si>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</si>
  <si>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</si>
  <si>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</si>
  <si>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</si>
  <si>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</si>
  <si>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</si>
  <si>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</si>
  <si>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</si>
  <si>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</si>
  <si>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</si>
  <si>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</si>
  <si>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</si>
  <si>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</si>
  <si>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</si>
  <si>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</si>
  <si>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</si>
  <si>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</si>
  <si>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</si>
  <si>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</si>
  <si>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</si>
  <si>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</si>
  <si>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</si>
  <si>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</si>
  <si>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</si>
  <si>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</si>
  <si>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</si>
  <si>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</si>
  <si>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</si>
  <si>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</si>
  <si>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</si>
  <si>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</si>
  <si>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</si>
  <si>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</si>
  <si>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</si>
  <si>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</si>
  <si>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</si>
  <si>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</si>
  <si>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</si>
  <si>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</si>
  <si>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</si>
  <si>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</si>
  <si>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</si>
  <si>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</si>
  <si>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</si>
  <si>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</si>
  <si>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</si>
  <si>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</si>
  <si>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</si>
  <si>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</si>
  <si>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</si>
  <si>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</si>
  <si>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</si>
  <si>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</si>
  <si>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</si>
  <si>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</si>
  <si>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</si>
  <si>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</si>
  <si>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</si>
  <si>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</si>
  <si>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</si>
  <si>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</si>
  <si>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</si>
  <si>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</si>
  <si>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</si>
  <si>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</si>
  <si>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</si>
  <si>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</si>
  <si>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</si>
  <si>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</si>
  <si>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</si>
  <si>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</si>
  <si>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</si>
  <si>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</si>
  <si>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</si>
  <si>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</si>
  <si>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</si>
  <si>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</si>
  <si>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</si>
  <si>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</si>
  <si>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</si>
  <si>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</si>
  <si>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</si>
  <si>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</si>
  <si>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</si>
  <si>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</si>
  <si>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</si>
  <si>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</si>
  <si>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</si>
  <si>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</si>
  <si>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</si>
  <si>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</si>
  <si>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</si>
  <si>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</si>
  <si>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</si>
  <si>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</si>
  <si>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</si>
  <si>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</si>
  <si>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</si>
  <si>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</si>
  <si>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</si>
  <si>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</si>
  <si>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</si>
  <si>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</si>
  <si>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</si>
  <si>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</si>
  <si>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</si>
  <si>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</si>
  <si>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</si>
  <si>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</si>
  <si>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</si>
  <si>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</si>
  <si>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</si>
  <si>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</si>
  <si>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</si>
  <si>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</si>
  <si>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</si>
  <si>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</si>
  <si>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</si>
  <si>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</si>
  <si>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</si>
  <si>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</si>
  <si>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</si>
  <si>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</si>
  <si>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</si>
  <si>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</si>
  <si>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</si>
  <si>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</si>
  <si>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</si>
  <si>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</si>
  <si>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</si>
  <si>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</si>
  <si>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</si>
  <si>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</si>
  <si>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</si>
  <si>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</si>
  <si>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</si>
  <si>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</si>
  <si>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</si>
  <si>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</si>
  <si>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</si>
  <si>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</si>
  <si>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</si>
  <si>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</si>
  <si>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</si>
  <si>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</si>
  <si>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</si>
  <si>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</si>
  <si>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</si>
  <si>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</si>
  <si>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</si>
  <si>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</si>
  <si>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</si>
  <si>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</si>
  <si>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</si>
  <si>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</si>
  <si>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</si>
  <si>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</si>
  <si>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</si>
  <si>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</si>
  <si>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</si>
  <si>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</si>
  <si>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</si>
  <si>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</si>
  <si>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</si>
  <si>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</si>
  <si>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</si>
  <si>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</si>
  <si>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</si>
  <si>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</si>
  <si>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</si>
  <si>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</si>
  <si>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</si>
  <si>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</si>
  <si>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</si>
  <si>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</si>
  <si>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</si>
  <si>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</si>
  <si>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</si>
  <si>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</si>
  <si>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</si>
  <si>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</si>
  <si>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</si>
  <si>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</si>
  <si>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</si>
  <si>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</si>
  <si>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</si>
  <si>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</si>
  <si>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</si>
  <si>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</si>
  <si>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</si>
  <si>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</si>
  <si>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</si>
  <si>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</si>
  <si>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</si>
  <si>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</si>
  <si>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</si>
  <si>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</si>
  <si>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</si>
  <si>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</si>
  <si>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</si>
  <si>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</si>
  <si>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</si>
  <si>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</si>
  <si>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</si>
  <si>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</si>
  <si>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</si>
  <si>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</si>
  <si>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</si>
  <si>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</si>
  <si>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</si>
  <si>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</si>
  <si>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</si>
  <si>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</si>
  <si>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</si>
  <si>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</si>
  <si>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</si>
  <si>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</si>
  <si>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</si>
  <si>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</si>
  <si>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</si>
  <si>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</si>
  <si>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</si>
  <si>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</si>
  <si>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</si>
  <si>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</si>
  <si>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</si>
  <si>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</si>
  <si>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</si>
  <si>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</si>
  <si>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</si>
  <si>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</si>
  <si>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</si>
  <si>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</si>
  <si>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</si>
  <si>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</si>
  <si>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</si>
  <si>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</si>
  <si>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</si>
  <si>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</si>
  <si>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</si>
  <si>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</si>
  <si>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</si>
  <si>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</si>
  <si>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</si>
  <si>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</si>
  <si>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</si>
  <si>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</si>
  <si>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</si>
  <si>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</si>
  <si>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</si>
  <si>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</si>
  <si>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</si>
  <si>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</si>
  <si>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</si>
  <si>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</si>
  <si>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</si>
  <si>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</si>
  <si>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</si>
  <si>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</si>
  <si>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</si>
  <si>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</si>
  <si>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</si>
  <si>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</si>
  <si>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</si>
  <si>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</si>
  <si>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</si>
  <si>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</si>
  <si>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</si>
  <si>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</si>
  <si>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</si>
  <si>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</si>
  <si>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</si>
  <si>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</si>
  <si>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</si>
  <si>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</si>
  <si>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</si>
  <si>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</si>
  <si>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</si>
  <si>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</si>
  <si>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</si>
  <si>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</si>
  <si>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</si>
  <si>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</si>
  <si>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</si>
  <si>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</si>
  <si>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</si>
  <si>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</si>
  <si>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</si>
  <si>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</si>
  <si>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</si>
  <si>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</si>
  <si>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</si>
  <si>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</si>
  <si>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</si>
  <si>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</si>
  <si>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</si>
  <si>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</si>
  <si>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</si>
  <si>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</si>
  <si>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</si>
  <si>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</si>
  <si>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</si>
  <si>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</si>
  <si>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</si>
  <si>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</si>
  <si>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</si>
  <si>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</si>
  <si>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</si>
  <si>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</si>
  <si>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</si>
  <si>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</si>
  <si>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</si>
  <si>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</si>
  <si>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</si>
  <si>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</si>
  <si>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</si>
  <si>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</si>
  <si>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</si>
  <si>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</si>
  <si>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</si>
  <si>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</si>
  <si>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</si>
  <si>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</si>
  <si>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</si>
  <si>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</si>
  <si>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</si>
  <si>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</si>
  <si>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</si>
  <si>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</si>
  <si>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</si>
  <si>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</si>
  <si>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</si>
  <si>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</si>
  <si>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</si>
  <si>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</si>
  <si>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</si>
  <si>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</si>
  <si>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</si>
  <si>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</si>
  <si>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</si>
  <si>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</si>
  <si>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</si>
  <si>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</si>
  <si>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</si>
  <si>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</si>
  <si>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</si>
  <si>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</si>
  <si>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</si>
  <si>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</si>
  <si>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</si>
  <si>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</si>
  <si>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</si>
  <si>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</si>
  <si>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</si>
  <si>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</si>
  <si>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</si>
  <si>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</si>
  <si>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</si>
  <si>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</si>
  <si>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</si>
  <si>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</si>
  <si>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</si>
  <si>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</si>
  <si>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</si>
  <si>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</si>
  <si>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</si>
  <si>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</si>
  <si>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</si>
  <si>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</si>
  <si>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</si>
  <si>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</si>
  <si>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</si>
  <si>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</si>
  <si>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</si>
  <si>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</si>
  <si>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</si>
  <si>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</si>
  <si>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</si>
  <si>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</si>
  <si>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</si>
  <si>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</si>
  <si>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</si>
  <si>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</si>
  <si>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</si>
  <si>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</si>
  <si>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</si>
  <si>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</si>
  <si>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</si>
  <si>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</si>
  <si>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</si>
  <si>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</si>
  <si>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</si>
  <si>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</si>
  <si>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</si>
  <si>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</si>
  <si>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</si>
  <si>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</si>
  <si>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</si>
  <si>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</si>
  <si>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</si>
  <si>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</si>
  <si>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</si>
  <si>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</si>
  <si>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</si>
  <si>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</si>
  <si>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</si>
  <si>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</si>
  <si>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</si>
  <si>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</si>
  <si>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</si>
  <si>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</si>
  <si>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</si>
  <si>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</si>
  <si>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</si>
  <si>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</si>
  <si>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</si>
  <si>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</si>
  <si>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</si>
  <si>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</si>
  <si>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</si>
  <si>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</si>
  <si>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</si>
  <si>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</si>
  <si>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</si>
  <si>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</si>
  <si>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</si>
  <si>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</si>
  <si>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</si>
  <si>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</si>
  <si>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</si>
  <si>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</si>
  <si>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</si>
  <si>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</si>
  <si>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</si>
  <si>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</si>
  <si>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</si>
  <si>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</si>
  <si>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</si>
  <si>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</si>
  <si>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</si>
  <si>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38479 SVEUČILIŠTE J.J.STROSSMAYERA U OSIJEKU - KATOLIČKI BOGOSLOVNI FAKULTET U ĐAKOVU</t>
  </si>
  <si>
    <t>Đakovo, 20. rujna 2019</t>
  </si>
  <si>
    <t>ANĐA ČOTA</t>
  </si>
  <si>
    <t>031-802-407, 031-802-408</t>
  </si>
  <si>
    <t>racunovodstvo@djkbf.hr</t>
  </si>
  <si>
    <t>ERASMUS +</t>
  </si>
  <si>
    <t>01.01.2020.</t>
  </si>
  <si>
    <t>31.12.2022.</t>
  </si>
  <si>
    <t>MOBILNOST NASTAVNOG I NENEASTAVNOG OSOBLJA</t>
  </si>
  <si>
    <t>SVEUČILIŠTE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</si>
</sst>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0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5" t="s">
        <v>1665</v>
      </c>
      <c r="D3" s="256"/>
      <c r="E3" s="257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8" t="s">
        <v>1666</v>
      </c>
      <c r="D4" s="259"/>
      <c r="E4" s="260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8" t="s">
        <v>1667</v>
      </c>
      <c r="D5" s="259"/>
      <c r="E5" s="260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8" t="s">
        <v>1668</v>
      </c>
      <c r="D6" s="259"/>
      <c r="E6" s="260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58" t="s">
        <v>1669</v>
      </c>
      <c r="D7" s="259"/>
      <c r="E7" s="260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4" t="s">
        <v>842</v>
      </c>
      <c r="C9" s="253"/>
      <c r="D9" s="253"/>
      <c r="E9" s="253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4" t="s">
        <v>3</v>
      </c>
      <c r="C10" s="253"/>
      <c r="D10" s="253"/>
      <c r="E10" s="253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2"/>
      <c r="C11" s="253"/>
      <c r="D11" s="253"/>
      <c r="E11" s="253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8772186</v>
      </c>
      <c r="D14" s="173">
        <f>+D15+D16</f>
        <v>9192380</v>
      </c>
      <c r="E14" s="173">
        <f>+E15+E16</f>
        <v>9214587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8772186</v>
      </c>
      <c r="D15" s="176">
        <f>'PLAN PRIHODA I PRIMITAKA '!C62</f>
        <v>9192380</v>
      </c>
      <c r="E15" s="176">
        <f>'PLAN PRIHODA I PRIMITAKA '!C98</f>
        <v>9214587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9022186</v>
      </c>
      <c r="D17" s="180">
        <f>+D18+D19</f>
        <v>9197380</v>
      </c>
      <c r="E17" s="180">
        <f>+E18+E19</f>
        <v>9219587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8962186</v>
      </c>
      <c r="D18" s="182">
        <f>'PLAN RASHODA I IZDATAKA'!C72</f>
        <v>9137380</v>
      </c>
      <c r="E18" s="182">
        <f>'PLAN RASHODA I IZDATAKA'!C92</f>
        <v>9159587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60000</v>
      </c>
      <c r="D19" s="182">
        <f>'PLAN RASHODA I IZDATAKA'!C80</f>
        <v>60000</v>
      </c>
      <c r="E19" s="182">
        <f>'PLAN RASHODA I IZDATAKA'!C100</f>
        <v>60000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-250000</v>
      </c>
      <c r="D20" s="173">
        <f>+D14-D17</f>
        <v>-5000</v>
      </c>
      <c r="E20" s="173">
        <f>+E14-E17</f>
        <v>-5000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2"/>
      <c r="C21" s="253"/>
      <c r="D21" s="253"/>
      <c r="E21" s="253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1200000</v>
      </c>
      <c r="D23" s="181">
        <f>'PLAN PRIHODA I PRIMITAKA '!C41</f>
        <v>950000</v>
      </c>
      <c r="E23" s="181">
        <f>'PLAN PRIHODA I PRIMITAKA '!C77</f>
        <v>950000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-950000</v>
      </c>
      <c r="D24" s="185">
        <f>'PLAN PRIHODA I PRIMITAKA '!C43</f>
        <v>-950000</v>
      </c>
      <c r="E24" s="186">
        <f>'PLAN PRIHODA I PRIMITAKA '!C79</f>
        <v>-950000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2"/>
      <c r="C25" s="253"/>
      <c r="D25" s="253"/>
      <c r="E25" s="253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2"/>
      <c r="C30" s="253"/>
      <c r="D30" s="253"/>
      <c r="E30" s="253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-5000</v>
      </c>
      <c r="E31" s="190">
        <f>+E20+E23+E24+E29</f>
        <v>-5000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99" activePane="bottomLeft" state="frozen"/>
      <selection pane="bottomLeft" activeCell="I4" sqref="I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52</v>
      </c>
      <c r="D3" s="140" t="str">
        <f t="shared" ref="D3:D66" si="1">IFERROR(VLOOKUP(E3,$R$6:$U$73,4,FALSE),"")</f>
        <v>Ostale pomoći</v>
      </c>
      <c r="E3" s="153">
        <v>636</v>
      </c>
      <c r="F3" s="206" t="str">
        <f>IFERROR(VLOOKUP(E3,$R$6:$U$73,2,FALSE),"")</f>
        <v>Pomoći proračunskim korisnicima iz proračuna koji im nije nadležan</v>
      </c>
      <c r="G3" s="198">
        <v>20000</v>
      </c>
      <c r="H3" s="198">
        <v>20000</v>
      </c>
      <c r="I3" s="198">
        <v>20000</v>
      </c>
      <c r="K3" s="144" t="str">
        <f>LEFT(E3,3)</f>
        <v>636</v>
      </c>
      <c r="L3" s="144" t="str">
        <f>LEFT(E3,2)</f>
        <v>63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52</v>
      </c>
      <c r="D4" s="140" t="str">
        <f t="shared" si="1"/>
        <v>Ostale pomoći</v>
      </c>
      <c r="E4" s="153">
        <v>6393</v>
      </c>
      <c r="F4" s="141" t="str">
        <f t="shared" ref="F4:F66" si="2">IFERROR(VLOOKUP(E4,$R$6:$U$73,2,FALSE),"")</f>
        <v>Tekući prijenosi između proračunskih korisnika istog proračuna temeljem prijenosa EU sredstava</v>
      </c>
      <c r="G4" s="198">
        <v>20000</v>
      </c>
      <c r="H4" s="198">
        <v>20000</v>
      </c>
      <c r="I4" s="198">
        <v>20000</v>
      </c>
      <c r="K4" s="144" t="str">
        <f t="shared" ref="K4:K67" si="3">LEFT(E4,3)</f>
        <v>639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43</v>
      </c>
      <c r="D5" s="140" t="str">
        <f t="shared" si="1"/>
        <v>Ostali prihodi za posebne namjene</v>
      </c>
      <c r="E5" s="153">
        <v>65264</v>
      </c>
      <c r="F5" s="141" t="str">
        <f t="shared" si="2"/>
        <v>Sufinanciranje cijene usluge, participacije i slično</v>
      </c>
      <c r="G5" s="198">
        <v>200000</v>
      </c>
      <c r="H5" s="198">
        <v>200000</v>
      </c>
      <c r="I5" s="198">
        <v>200000</v>
      </c>
      <c r="K5" s="144" t="str">
        <f t="shared" si="3"/>
        <v>652</v>
      </c>
      <c r="L5" s="144" t="str">
        <f t="shared" si="4"/>
        <v>65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43</v>
      </c>
      <c r="D6" s="140" t="str">
        <f t="shared" si="1"/>
        <v>Ostali prihodi za posebne namjene</v>
      </c>
      <c r="E6" s="153">
        <v>65268</v>
      </c>
      <c r="F6" s="141" t="str">
        <f t="shared" si="2"/>
        <v>Ostali prihodi za posebne namjene</v>
      </c>
      <c r="G6" s="198">
        <v>300000</v>
      </c>
      <c r="H6" s="198">
        <v>350000</v>
      </c>
      <c r="I6" s="198">
        <v>350000</v>
      </c>
      <c r="K6" s="144" t="str">
        <f t="shared" si="3"/>
        <v>652</v>
      </c>
      <c r="L6" s="144" t="str">
        <f t="shared" si="4"/>
        <v>65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31</v>
      </c>
      <c r="D7" s="140" t="str">
        <f t="shared" si="1"/>
        <v>Vlastiti prihodi</v>
      </c>
      <c r="E7" s="153">
        <v>6614</v>
      </c>
      <c r="F7" s="141" t="str">
        <f t="shared" si="2"/>
        <v>Prihodi od prodaje proizvoda i robe</v>
      </c>
      <c r="G7" s="198">
        <v>15000</v>
      </c>
      <c r="H7" s="198">
        <v>25000</v>
      </c>
      <c r="I7" s="198">
        <v>25000</v>
      </c>
      <c r="K7" s="144" t="str">
        <f t="shared" si="3"/>
        <v>661</v>
      </c>
      <c r="L7" s="144" t="str">
        <f t="shared" si="4"/>
        <v>66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31</v>
      </c>
      <c r="D8" s="140" t="str">
        <f t="shared" si="1"/>
        <v>Vlastiti prihodi</v>
      </c>
      <c r="E8" s="153">
        <v>6615</v>
      </c>
      <c r="F8" s="141" t="str">
        <f t="shared" si="2"/>
        <v>Prihodi od pruženih usluga</v>
      </c>
      <c r="G8" s="198">
        <v>45000</v>
      </c>
      <c r="H8" s="198">
        <v>42000</v>
      </c>
      <c r="I8" s="198">
        <v>43000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11</v>
      </c>
      <c r="D9" s="140" t="str">
        <f t="shared" si="1"/>
        <v>Opći prihodi i primici</v>
      </c>
      <c r="E9" s="153" t="s">
        <v>830</v>
      </c>
      <c r="F9" s="141" t="str">
        <f t="shared" si="2"/>
        <v>Prihodi iz nadležnog proračuna za financiranje redovne djelatnosti proračunskih korisnika</v>
      </c>
      <c r="G9" s="198">
        <v>7617310</v>
      </c>
      <c r="H9" s="198">
        <v>7968245</v>
      </c>
      <c r="I9" s="198">
        <v>7989452</v>
      </c>
      <c r="K9" s="144" t="str">
        <f t="shared" si="3"/>
        <v>671</v>
      </c>
      <c r="L9" s="144" t="str">
        <f t="shared" si="4"/>
        <v>67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11</v>
      </c>
      <c r="D10" s="140" t="str">
        <f t="shared" si="1"/>
        <v>Opći prihodi i primici</v>
      </c>
      <c r="E10" s="153" t="s">
        <v>830</v>
      </c>
      <c r="F10" s="141" t="str">
        <f t="shared" si="2"/>
        <v>Prihodi iz nadležnog proračuna za financiranje redovne djelatnosti proračunskih korisnika</v>
      </c>
      <c r="G10" s="198">
        <v>552876</v>
      </c>
      <c r="H10" s="198">
        <v>565135</v>
      </c>
      <c r="I10" s="198">
        <v>565135</v>
      </c>
      <c r="K10" s="144" t="str">
        <f t="shared" si="3"/>
        <v>671</v>
      </c>
      <c r="L10" s="144" t="str">
        <f t="shared" si="4"/>
        <v>67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43</v>
      </c>
      <c r="D11" s="140" t="str">
        <f t="shared" si="1"/>
        <v>Ostali prihodi za posebne namjene</v>
      </c>
      <c r="E11" s="153">
        <v>683110043</v>
      </c>
      <c r="F11" s="141" t="str">
        <f t="shared" si="2"/>
        <v>Ostali prihodi izvor 43</v>
      </c>
      <c r="G11" s="198">
        <v>2000</v>
      </c>
      <c r="H11" s="198">
        <v>2000</v>
      </c>
      <c r="I11" s="198">
        <v>2000</v>
      </c>
      <c r="K11" s="144" t="str">
        <f t="shared" si="3"/>
        <v>683</v>
      </c>
      <c r="L11" s="144" t="str">
        <f t="shared" si="4"/>
        <v>68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/>
      </c>
      <c r="B12" s="142" t="str">
        <f>IF(E12="","",VLOOKUP('Opći dio'!$C$3,'Opći dio'!$L$6:$U$135,9,FALSE))</f>
        <v/>
      </c>
      <c r="C12" s="202" t="str">
        <f t="shared" si="0"/>
        <v/>
      </c>
      <c r="D12" s="140" t="str">
        <f t="shared" si="1"/>
        <v/>
      </c>
      <c r="E12" s="153"/>
      <c r="F12" s="141" t="str">
        <f t="shared" si="2"/>
        <v/>
      </c>
      <c r="G12" s="198"/>
      <c r="H12" s="198"/>
      <c r="I12" s="198"/>
      <c r="K12" s="144" t="str">
        <f t="shared" si="3"/>
        <v/>
      </c>
      <c r="L12" s="144" t="str">
        <f t="shared" si="4"/>
        <v/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/>
      </c>
      <c r="B14" s="142" t="str">
        <f>IF(E14="","",VLOOKUP('Opći dio'!$C$3,'Opći dio'!$L$6:$U$135,9,FALSE))</f>
        <v/>
      </c>
      <c r="C14" s="202" t="str">
        <f t="shared" si="0"/>
        <v/>
      </c>
      <c r="D14" s="140" t="str">
        <f t="shared" si="1"/>
        <v/>
      </c>
      <c r="E14" s="153"/>
      <c r="F14" s="141" t="str">
        <f t="shared" si="2"/>
        <v/>
      </c>
      <c r="G14" s="198"/>
      <c r="H14" s="198"/>
      <c r="I14" s="198"/>
      <c r="K14" s="144" t="str">
        <f t="shared" si="3"/>
        <v/>
      </c>
      <c r="L14" s="144" t="str">
        <f t="shared" si="4"/>
        <v/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7" activePane="bottomLeft" state="frozen"/>
      <selection pane="bottomLeft" activeCell="I39" sqref="I39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80</v>
      </c>
      <c r="H3" s="149" t="str">
        <f>IFERROR(VLOOKUP(G3,$X$6:$Y$50,2,FALSE),"")</f>
        <v>REDOVNA DJELATNOST SVEUČILIŠTA U OSIJEKU</v>
      </c>
      <c r="I3" s="198">
        <v>6357560</v>
      </c>
      <c r="J3" s="198">
        <v>6634507</v>
      </c>
      <c r="K3" s="198">
        <v>6642995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80</v>
      </c>
      <c r="H4" s="149" t="str">
        <f t="shared" ref="H4:H67" si="2">IFERROR(VLOOKUP(G4,$X$6:$Y$50,2,FALSE),"")</f>
        <v>REDOVNA DJELATNOST SVEUČILIŠTA U OSIJEKU</v>
      </c>
      <c r="I4" s="198">
        <v>130840</v>
      </c>
      <c r="J4" s="198">
        <v>133741</v>
      </c>
      <c r="K4" s="198">
        <v>134974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80</v>
      </c>
      <c r="H5" s="149" t="str">
        <f t="shared" si="2"/>
        <v>REDOVNA DJELATNOST SVEUČILIŠTA U OSIJEKU</v>
      </c>
      <c r="I5" s="198">
        <v>1004515</v>
      </c>
      <c r="J5" s="198">
        <v>1026785</v>
      </c>
      <c r="K5" s="198">
        <v>1036252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80</v>
      </c>
      <c r="H6" s="149" t="str">
        <f t="shared" si="2"/>
        <v>REDOVNA DJELATNOST SVEUČILIŠTA U OSIJEKU</v>
      </c>
      <c r="I6" s="198">
        <v>161140</v>
      </c>
      <c r="J6" s="198">
        <v>164712</v>
      </c>
      <c r="K6" s="198">
        <v>166231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80</v>
      </c>
      <c r="H7" s="149" t="str">
        <f t="shared" si="2"/>
        <v>REDOVNA DJELATNOST SVEUČILIŠTA U OSIJEKU</v>
      </c>
      <c r="I7" s="198">
        <v>8000</v>
      </c>
      <c r="J7" s="198">
        <v>8500</v>
      </c>
      <c r="K7" s="198">
        <v>9000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3211</v>
      </c>
      <c r="F8" s="149" t="str">
        <f t="shared" si="0"/>
        <v>Službena putovanja</v>
      </c>
      <c r="G8" s="201" t="s">
        <v>864</v>
      </c>
      <c r="H8" s="149" t="str">
        <f t="shared" si="2"/>
        <v>PROGRAMSKO FINANCIRANJE JAVNIH VISOKIH UČILIŠTA</v>
      </c>
      <c r="I8" s="198">
        <v>30000</v>
      </c>
      <c r="J8" s="198">
        <v>32000</v>
      </c>
      <c r="K8" s="198">
        <v>32000</v>
      </c>
      <c r="M8" s="144" t="str">
        <f t="shared" si="3"/>
        <v>321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1"/>
        <v>Opći prihodi i primici</v>
      </c>
      <c r="E9" s="154">
        <v>3213</v>
      </c>
      <c r="F9" s="149" t="str">
        <f t="shared" si="0"/>
        <v>Stručno usavršavanje zaposlenika</v>
      </c>
      <c r="G9" s="201" t="s">
        <v>864</v>
      </c>
      <c r="H9" s="149" t="str">
        <f t="shared" si="2"/>
        <v>PROGRAMSKO FINANCIRANJE JAVNIH VISOKIH UČILIŠTA</v>
      </c>
      <c r="I9" s="198">
        <v>30000</v>
      </c>
      <c r="J9" s="198">
        <v>33000</v>
      </c>
      <c r="K9" s="198">
        <v>33000</v>
      </c>
      <c r="M9" s="144" t="str">
        <f t="shared" si="3"/>
        <v>321</v>
      </c>
      <c r="N9" s="144" t="str">
        <f t="shared" si="4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3223</v>
      </c>
      <c r="F10" s="149" t="str">
        <f t="shared" si="0"/>
        <v>Energija</v>
      </c>
      <c r="G10" s="201" t="s">
        <v>864</v>
      </c>
      <c r="H10" s="149" t="str">
        <f t="shared" si="2"/>
        <v>PROGRAMSKO FINANCIRANJE JAVNIH VISOKIH UČILIŠTA</v>
      </c>
      <c r="I10" s="198">
        <v>188255</v>
      </c>
      <c r="J10" s="198">
        <v>234135</v>
      </c>
      <c r="K10" s="198">
        <v>234135</v>
      </c>
      <c r="M10" s="144" t="str">
        <f t="shared" si="3"/>
        <v>322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3232</v>
      </c>
      <c r="F11" s="149" t="str">
        <f t="shared" si="0"/>
        <v>Usluge tekućeg i investicijskog održavanja</v>
      </c>
      <c r="G11" s="201" t="s">
        <v>864</v>
      </c>
      <c r="H11" s="149" t="str">
        <f t="shared" si="2"/>
        <v>PROGRAMSKO FINANCIRANJE JAVNIH VISOKIH UČILIŠTA</v>
      </c>
      <c r="I11" s="198">
        <v>60000</v>
      </c>
      <c r="J11" s="198">
        <v>60000</v>
      </c>
      <c r="K11" s="198">
        <v>60000</v>
      </c>
      <c r="M11" s="144" t="str">
        <f t="shared" si="3"/>
        <v>323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3237</v>
      </c>
      <c r="F12" s="149" t="str">
        <f t="shared" si="0"/>
        <v>Intelektualne i osobne usluge</v>
      </c>
      <c r="G12" s="201" t="s">
        <v>864</v>
      </c>
      <c r="H12" s="149" t="str">
        <f t="shared" si="2"/>
        <v>PROGRAMSKO FINANCIRANJE JAVNIH VISOKIH UČILIŠTA</v>
      </c>
      <c r="I12" s="198">
        <v>100000</v>
      </c>
      <c r="J12" s="198">
        <v>105000</v>
      </c>
      <c r="K12" s="198">
        <v>105000</v>
      </c>
      <c r="M12" s="144" t="str">
        <f t="shared" si="3"/>
        <v>323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3239</v>
      </c>
      <c r="F13" s="149" t="str">
        <f t="shared" si="0"/>
        <v>Ostale usluge</v>
      </c>
      <c r="G13" s="201" t="s">
        <v>864</v>
      </c>
      <c r="H13" s="149" t="str">
        <f t="shared" si="2"/>
        <v>PROGRAMSKO FINANCIRANJE JAVNIH VISOKIH UČILIŠTA</v>
      </c>
      <c r="I13" s="198">
        <v>51876</v>
      </c>
      <c r="J13" s="198">
        <v>51000</v>
      </c>
      <c r="K13" s="198">
        <v>51000</v>
      </c>
      <c r="M13" s="144" t="str">
        <f t="shared" si="3"/>
        <v>323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3299</v>
      </c>
      <c r="F14" s="149" t="str">
        <f t="shared" si="0"/>
        <v>Ostali nespomenuti rashodi poslovanja</v>
      </c>
      <c r="G14" s="201" t="s">
        <v>864</v>
      </c>
      <c r="H14" s="149" t="str">
        <f t="shared" si="2"/>
        <v>PROGRAMSKO FINANCIRANJE JAVNIH VISOKIH UČILIŠTA</v>
      </c>
      <c r="I14" s="198">
        <v>20000</v>
      </c>
      <c r="J14" s="198">
        <v>21000</v>
      </c>
      <c r="K14" s="198">
        <v>21000</v>
      </c>
      <c r="M14" s="144" t="str">
        <f t="shared" si="3"/>
        <v>329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3721</v>
      </c>
      <c r="F15" s="149" t="str">
        <f t="shared" si="0"/>
        <v>Naknade građanima i kućanstvima u novcu</v>
      </c>
      <c r="G15" s="201" t="s">
        <v>864</v>
      </c>
      <c r="H15" s="149" t="str">
        <f t="shared" si="2"/>
        <v>PROGRAMSKO FINANCIRANJE JAVNIH VISOKIH UČILIŠTA</v>
      </c>
      <c r="I15" s="198">
        <v>28000</v>
      </c>
      <c r="J15" s="198">
        <v>29000</v>
      </c>
      <c r="K15" s="198">
        <v>29000</v>
      </c>
      <c r="M15" s="144" t="str">
        <f t="shared" si="3"/>
        <v>372</v>
      </c>
      <c r="N15" s="144" t="str">
        <f t="shared" si="4"/>
        <v>37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43</v>
      </c>
      <c r="D16" s="149" t="str">
        <f t="shared" si="1"/>
        <v>Ostali prihodi za posebne namjene</v>
      </c>
      <c r="E16" s="154">
        <v>3121</v>
      </c>
      <c r="F16" s="149" t="str">
        <f t="shared" si="0"/>
        <v>Ostali rashodi za zaposlene</v>
      </c>
      <c r="G16" s="201" t="s">
        <v>197</v>
      </c>
      <c r="H16" s="149" t="str">
        <f t="shared" si="2"/>
        <v>REDOVNA DJELATNOST SVEUČILIŠTA U OSIJEKU (IZ EVIDENCIJSKIH PRIHODA)</v>
      </c>
      <c r="I16" s="198">
        <v>50000</v>
      </c>
      <c r="J16" s="198">
        <v>50000</v>
      </c>
      <c r="K16" s="198">
        <v>50000</v>
      </c>
      <c r="M16" s="144" t="str">
        <f t="shared" si="3"/>
        <v>312</v>
      </c>
      <c r="N16" s="144" t="str">
        <f t="shared" si="4"/>
        <v>31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43</v>
      </c>
      <c r="D17" s="149" t="str">
        <f t="shared" si="1"/>
        <v>Ostali prihodi za posebne namjene</v>
      </c>
      <c r="E17" s="154">
        <v>3211</v>
      </c>
      <c r="F17" s="149" t="str">
        <f t="shared" si="0"/>
        <v>Službena putovanja</v>
      </c>
      <c r="G17" s="201" t="s">
        <v>197</v>
      </c>
      <c r="H17" s="149" t="str">
        <f t="shared" si="2"/>
        <v>REDOVNA DJELATNOST SVEUČILIŠTA U OSIJEKU (IZ EVIDENCIJSKIH PRIHODA)</v>
      </c>
      <c r="I17" s="198">
        <v>30000</v>
      </c>
      <c r="J17" s="198">
        <v>30000</v>
      </c>
      <c r="K17" s="198">
        <v>30000</v>
      </c>
      <c r="M17" s="144" t="str">
        <f t="shared" si="3"/>
        <v>321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43</v>
      </c>
      <c r="D18" s="149" t="str">
        <f t="shared" si="1"/>
        <v>Ostali prihodi za posebne namjene</v>
      </c>
      <c r="E18" s="154">
        <v>3221</v>
      </c>
      <c r="F18" s="149" t="str">
        <f t="shared" si="0"/>
        <v>Uredski materijal i ostali materijalni rashodi</v>
      </c>
      <c r="G18" s="201" t="s">
        <v>197</v>
      </c>
      <c r="H18" s="149" t="str">
        <f t="shared" si="2"/>
        <v>REDOVNA DJELATNOST SVEUČILIŠTA U OSIJEKU (IZ EVIDENCIJSKIH PRIHODA)</v>
      </c>
      <c r="I18" s="198">
        <v>50000</v>
      </c>
      <c r="J18" s="198">
        <v>50000</v>
      </c>
      <c r="K18" s="198">
        <v>50000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43</v>
      </c>
      <c r="D19" s="149" t="str">
        <f t="shared" si="1"/>
        <v>Ostali prihodi za posebne namjene</v>
      </c>
      <c r="E19" s="154">
        <v>3223</v>
      </c>
      <c r="F19" s="149" t="str">
        <f t="shared" si="0"/>
        <v>Energija</v>
      </c>
      <c r="G19" s="201" t="s">
        <v>197</v>
      </c>
      <c r="H19" s="149" t="str">
        <f t="shared" si="2"/>
        <v>REDOVNA DJELATNOST SVEUČILIŠTA U OSIJEKU (IZ EVIDENCIJSKIH PRIHODA)</v>
      </c>
      <c r="I19" s="198">
        <v>53000</v>
      </c>
      <c r="J19" s="198">
        <v>55000</v>
      </c>
      <c r="K19" s="198">
        <v>55000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43</v>
      </c>
      <c r="D20" s="149" t="str">
        <f t="shared" si="1"/>
        <v>Ostali prihodi za posebne namjene</v>
      </c>
      <c r="E20" s="154">
        <v>3225</v>
      </c>
      <c r="F20" s="149" t="str">
        <f t="shared" si="0"/>
        <v>Sitni inventar i auto gume</v>
      </c>
      <c r="G20" s="201" t="s">
        <v>197</v>
      </c>
      <c r="H20" s="149" t="str">
        <f t="shared" si="2"/>
        <v>REDOVNA DJELATNOST SVEUČILIŠTA U OSIJEKU (IZ EVIDENCIJSKIH PRIHODA)</v>
      </c>
      <c r="I20" s="198">
        <v>20000</v>
      </c>
      <c r="J20" s="198">
        <v>20000</v>
      </c>
      <c r="K20" s="198">
        <v>20000</v>
      </c>
      <c r="M20" s="144" t="str">
        <f t="shared" si="3"/>
        <v>322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43</v>
      </c>
      <c r="D21" s="149" t="str">
        <f t="shared" si="1"/>
        <v>Ostali prihodi za posebne namjene</v>
      </c>
      <c r="E21" s="154">
        <v>3227</v>
      </c>
      <c r="F21" s="149" t="str">
        <f t="shared" si="0"/>
        <v>Službena, radna i zaštitna odjeća i obuća</v>
      </c>
      <c r="G21" s="201" t="s">
        <v>197</v>
      </c>
      <c r="H21" s="149" t="str">
        <f t="shared" si="2"/>
        <v>REDOVNA DJELATNOST SVEUČILIŠTA U OSIJEKU (IZ EVIDENCIJSKIH PRIHODA)</v>
      </c>
      <c r="I21" s="198">
        <v>5000</v>
      </c>
      <c r="J21" s="198">
        <v>5000</v>
      </c>
      <c r="K21" s="198">
        <v>5000</v>
      </c>
      <c r="M21" s="144" t="str">
        <f t="shared" si="3"/>
        <v>322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43</v>
      </c>
      <c r="D22" s="149" t="str">
        <f t="shared" si="1"/>
        <v>Ostali prihodi za posebne namjene</v>
      </c>
      <c r="E22" s="154">
        <v>3231</v>
      </c>
      <c r="F22" s="149" t="str">
        <f t="shared" si="0"/>
        <v>Usluge telefona, pošte i prijevoza</v>
      </c>
      <c r="G22" s="201" t="s">
        <v>197</v>
      </c>
      <c r="H22" s="149" t="str">
        <f t="shared" si="2"/>
        <v>REDOVNA DJELATNOST SVEUČILIŠTA U OSIJEKU (IZ EVIDENCIJSKIH PRIHODA)</v>
      </c>
      <c r="I22" s="198">
        <v>26000</v>
      </c>
      <c r="J22" s="198">
        <v>27000</v>
      </c>
      <c r="K22" s="198">
        <v>27000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43</v>
      </c>
      <c r="D23" s="149" t="str">
        <f t="shared" si="1"/>
        <v>Ostali prihodi za posebne namjene</v>
      </c>
      <c r="E23" s="154">
        <v>3232</v>
      </c>
      <c r="F23" s="149" t="str">
        <f t="shared" si="0"/>
        <v>Usluge tekućeg i investicijskog održavanja</v>
      </c>
      <c r="G23" s="201" t="s">
        <v>197</v>
      </c>
      <c r="H23" s="149" t="str">
        <f t="shared" si="2"/>
        <v>REDOVNA DJELATNOST SVEUČILIŠTA U OSIJEKU (IZ EVIDENCIJSKIH PRIHODA)</v>
      </c>
      <c r="I23" s="198">
        <v>250000</v>
      </c>
      <c r="J23" s="198">
        <v>40000</v>
      </c>
      <c r="K23" s="198">
        <v>40000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43</v>
      </c>
      <c r="D24" s="149" t="str">
        <f t="shared" si="1"/>
        <v>Ostali prihodi za posebne namjene</v>
      </c>
      <c r="E24" s="154">
        <v>3233</v>
      </c>
      <c r="F24" s="149" t="str">
        <f t="shared" si="0"/>
        <v>Usluge promidžbe i informiranja</v>
      </c>
      <c r="G24" s="201" t="s">
        <v>197</v>
      </c>
      <c r="H24" s="149" t="str">
        <f t="shared" si="2"/>
        <v>REDOVNA DJELATNOST SVEUČILIŠTA U OSIJEKU (IZ EVIDENCIJSKIH PRIHODA)</v>
      </c>
      <c r="I24" s="198">
        <v>20000</v>
      </c>
      <c r="J24" s="198">
        <v>21000</v>
      </c>
      <c r="K24" s="198">
        <v>21000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43</v>
      </c>
      <c r="D25" s="149" t="str">
        <f t="shared" si="1"/>
        <v>Ostali prihodi za posebne namjene</v>
      </c>
      <c r="E25" s="154">
        <v>3234</v>
      </c>
      <c r="F25" s="149" t="str">
        <f t="shared" si="0"/>
        <v>Komunalne usluge</v>
      </c>
      <c r="G25" s="201" t="s">
        <v>197</v>
      </c>
      <c r="H25" s="149" t="str">
        <f t="shared" si="2"/>
        <v>REDOVNA DJELATNOST SVEUČILIŠTA U OSIJEKU (IZ EVIDENCIJSKIH PRIHODA)</v>
      </c>
      <c r="I25" s="198">
        <v>70000</v>
      </c>
      <c r="J25" s="198">
        <v>65000</v>
      </c>
      <c r="K25" s="198">
        <v>65000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43</v>
      </c>
      <c r="D26" s="149" t="str">
        <f t="shared" si="1"/>
        <v>Ostali prihodi za posebne namjene</v>
      </c>
      <c r="E26" s="154">
        <v>3236</v>
      </c>
      <c r="F26" s="149" t="str">
        <f t="shared" si="0"/>
        <v>Zdravstvene i veterinarske usluge</v>
      </c>
      <c r="G26" s="201" t="s">
        <v>197</v>
      </c>
      <c r="H26" s="149" t="str">
        <f t="shared" si="2"/>
        <v>REDOVNA DJELATNOST SVEUČILIŠTA U OSIJEKU (IZ EVIDENCIJSKIH PRIHODA)</v>
      </c>
      <c r="I26" s="198">
        <v>5000</v>
      </c>
      <c r="J26" s="198">
        <v>0</v>
      </c>
      <c r="K26" s="198">
        <v>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43</v>
      </c>
      <c r="D27" s="149" t="str">
        <f t="shared" si="1"/>
        <v>Ostali prihodi za posebne namjene</v>
      </c>
      <c r="E27" s="154">
        <v>3237</v>
      </c>
      <c r="F27" s="149" t="str">
        <f t="shared" si="0"/>
        <v>Intelektualne i osobne usluge</v>
      </c>
      <c r="G27" s="201" t="s">
        <v>197</v>
      </c>
      <c r="H27" s="149" t="str">
        <f t="shared" si="2"/>
        <v>REDOVNA DJELATNOST SVEUČILIŠTA U OSIJEKU (IZ EVIDENCIJSKIH PRIHODA)</v>
      </c>
      <c r="I27" s="198">
        <v>20000</v>
      </c>
      <c r="J27" s="198">
        <v>20000</v>
      </c>
      <c r="K27" s="198">
        <v>20000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43</v>
      </c>
      <c r="D28" s="149" t="str">
        <f t="shared" si="1"/>
        <v>Ostali prihodi za posebne namjene</v>
      </c>
      <c r="E28" s="154">
        <v>3238</v>
      </c>
      <c r="F28" s="149" t="str">
        <f t="shared" si="0"/>
        <v>Računalne usluge</v>
      </c>
      <c r="G28" s="201" t="s">
        <v>197</v>
      </c>
      <c r="H28" s="149" t="str">
        <f t="shared" si="2"/>
        <v>REDOVNA DJELATNOST SVEUČILIŠTA U OSIJEKU (IZ EVIDENCIJSKIH PRIHODA)</v>
      </c>
      <c r="I28" s="198">
        <v>30000</v>
      </c>
      <c r="J28" s="198">
        <v>31000</v>
      </c>
      <c r="K28" s="198">
        <v>31000</v>
      </c>
      <c r="M28" s="144" t="str">
        <f t="shared" si="3"/>
        <v>323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43</v>
      </c>
      <c r="D29" s="149" t="str">
        <f t="shared" si="1"/>
        <v>Ostali prihodi za posebne namjene</v>
      </c>
      <c r="E29" s="154">
        <v>3239</v>
      </c>
      <c r="F29" s="149" t="str">
        <f t="shared" si="0"/>
        <v>Ostale usluge</v>
      </c>
      <c r="G29" s="201" t="s">
        <v>197</v>
      </c>
      <c r="H29" s="149" t="str">
        <f t="shared" si="2"/>
        <v>REDOVNA DJELATNOST SVEUČILIŠTA U OSIJEKU (IZ EVIDENCIJSKIH PRIHODA)</v>
      </c>
      <c r="I29" s="198">
        <v>20000</v>
      </c>
      <c r="J29" s="198">
        <v>27000</v>
      </c>
      <c r="K29" s="198">
        <v>27000</v>
      </c>
      <c r="M29" s="144" t="str">
        <f t="shared" si="3"/>
        <v>323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43</v>
      </c>
      <c r="D30" s="149" t="str">
        <f t="shared" si="1"/>
        <v>Ostali prihodi za posebne namjene</v>
      </c>
      <c r="E30" s="154">
        <v>3241</v>
      </c>
      <c r="F30" s="149" t="str">
        <f t="shared" si="0"/>
        <v>Naknade troškova osobama izvan radnog odnosa</v>
      </c>
      <c r="G30" s="201" t="s">
        <v>197</v>
      </c>
      <c r="H30" s="149" t="str">
        <f t="shared" si="2"/>
        <v>REDOVNA DJELATNOST SVEUČILIŠTA U OSIJEKU (IZ EVIDENCIJSKIH PRIHODA)</v>
      </c>
      <c r="I30" s="198">
        <v>10000</v>
      </c>
      <c r="J30" s="198">
        <v>11000</v>
      </c>
      <c r="K30" s="198">
        <v>11000</v>
      </c>
      <c r="M30" s="144" t="str">
        <f t="shared" si="3"/>
        <v>324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43</v>
      </c>
      <c r="D31" s="149" t="str">
        <f t="shared" si="1"/>
        <v>Ostali prihodi za posebne namjene</v>
      </c>
      <c r="E31" s="154">
        <v>3294</v>
      </c>
      <c r="F31" s="149" t="str">
        <f t="shared" si="0"/>
        <v>Članarine i norme</v>
      </c>
      <c r="G31" s="201" t="s">
        <v>197</v>
      </c>
      <c r="H31" s="149" t="str">
        <f t="shared" si="2"/>
        <v>REDOVNA DJELATNOST SVEUČILIŠTA U OSIJEKU (IZ EVIDENCIJSKIH PRIHODA)</v>
      </c>
      <c r="I31" s="198">
        <v>1000</v>
      </c>
      <c r="J31" s="198">
        <v>1000</v>
      </c>
      <c r="K31" s="198">
        <v>1000</v>
      </c>
      <c r="M31" s="144" t="str">
        <f t="shared" si="3"/>
        <v>329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43</v>
      </c>
      <c r="D32" s="149" t="str">
        <f t="shared" si="1"/>
        <v>Ostali prihodi za posebne namjene</v>
      </c>
      <c r="E32" s="154">
        <v>3295</v>
      </c>
      <c r="F32" s="149" t="str">
        <f t="shared" si="0"/>
        <v>Pristojbe i naknade</v>
      </c>
      <c r="G32" s="201" t="s">
        <v>197</v>
      </c>
      <c r="H32" s="149" t="str">
        <f t="shared" si="2"/>
        <v>REDOVNA DJELATNOST SVEUČILIŠTA U OSIJEKU (IZ EVIDENCIJSKIH PRIHODA)</v>
      </c>
      <c r="I32" s="198">
        <v>2000</v>
      </c>
      <c r="J32" s="198">
        <v>3000</v>
      </c>
      <c r="K32" s="198">
        <v>3000</v>
      </c>
      <c r="M32" s="144" t="str">
        <f t="shared" si="3"/>
        <v>329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43</v>
      </c>
      <c r="D33" s="149" t="str">
        <f t="shared" si="1"/>
        <v>Ostali prihodi za posebne namjene</v>
      </c>
      <c r="E33" s="154">
        <v>3299</v>
      </c>
      <c r="F33" s="149" t="str">
        <f t="shared" si="0"/>
        <v>Ostali nespomenuti rashodi poslovanja</v>
      </c>
      <c r="G33" s="201" t="s">
        <v>197</v>
      </c>
      <c r="H33" s="149" t="str">
        <f t="shared" si="2"/>
        <v>REDOVNA DJELATNOST SVEUČILIŠTA U OSIJEKU (IZ EVIDENCIJSKIH PRIHODA)</v>
      </c>
      <c r="I33" s="198">
        <v>20000</v>
      </c>
      <c r="J33" s="198">
        <v>25000</v>
      </c>
      <c r="K33" s="198">
        <v>25000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43</v>
      </c>
      <c r="D34" s="149" t="str">
        <f t="shared" si="1"/>
        <v>Ostali prihodi za posebne namjene</v>
      </c>
      <c r="E34" s="154">
        <v>3431</v>
      </c>
      <c r="F34" s="149" t="str">
        <f t="shared" si="0"/>
        <v>Bankarske usluge i usluge platnog prometa</v>
      </c>
      <c r="G34" s="201" t="s">
        <v>197</v>
      </c>
      <c r="H34" s="149" t="str">
        <f t="shared" si="2"/>
        <v>REDOVNA DJELATNOST SVEUČILIŠTA U OSIJEKU (IZ EVIDENCIJSKIH PRIHODA)</v>
      </c>
      <c r="I34" s="198">
        <v>10000</v>
      </c>
      <c r="J34" s="198">
        <v>11000</v>
      </c>
      <c r="K34" s="198">
        <v>11000</v>
      </c>
      <c r="M34" s="144" t="str">
        <f t="shared" si="3"/>
        <v>343</v>
      </c>
      <c r="N34" s="144" t="str">
        <f t="shared" si="4"/>
        <v>34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4221</v>
      </c>
      <c r="F35" s="149" t="str">
        <f t="shared" si="0"/>
        <v>Uredska oprema i namještaj</v>
      </c>
      <c r="G35" s="201" t="s">
        <v>197</v>
      </c>
      <c r="H35" s="149" t="str">
        <f t="shared" si="2"/>
        <v>REDOVNA DJELATNOST SVEUČILIŠTA U OSIJEKU (IZ EVIDENCIJSKIH PRIHODA)</v>
      </c>
      <c r="I35" s="198">
        <v>40000</v>
      </c>
      <c r="J35" s="198">
        <v>40000</v>
      </c>
      <c r="K35" s="198">
        <v>40000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4241</v>
      </c>
      <c r="F36" s="149" t="str">
        <f t="shared" si="0"/>
        <v>Knjige</v>
      </c>
      <c r="G36" s="201" t="s">
        <v>197</v>
      </c>
      <c r="H36" s="149" t="str">
        <f t="shared" si="2"/>
        <v>REDOVNA DJELATNOST SVEUČILIŠTA U OSIJEKU (IZ EVIDENCIJSKIH PRIHODA)</v>
      </c>
      <c r="I36" s="198">
        <v>20000</v>
      </c>
      <c r="J36" s="198">
        <v>20000</v>
      </c>
      <c r="K36" s="198">
        <v>20000</v>
      </c>
      <c r="M36" s="144" t="str">
        <f t="shared" si="3"/>
        <v>424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31</v>
      </c>
      <c r="D37" s="149" t="str">
        <f t="shared" si="1"/>
        <v>Vlastiti prihodi</v>
      </c>
      <c r="E37" s="154">
        <v>3293</v>
      </c>
      <c r="F37" s="149" t="str">
        <f t="shared" si="0"/>
        <v>Reprezentacija</v>
      </c>
      <c r="G37" s="201" t="s">
        <v>197</v>
      </c>
      <c r="H37" s="149" t="str">
        <f t="shared" si="2"/>
        <v>REDOVNA DJELATNOST SVEUČILIŠTA U OSIJEKU (IZ EVIDENCIJSKIH PRIHODA)</v>
      </c>
      <c r="I37" s="198">
        <v>60000</v>
      </c>
      <c r="J37" s="198">
        <v>67000</v>
      </c>
      <c r="K37" s="198">
        <v>68000</v>
      </c>
      <c r="M37" s="144" t="str">
        <f t="shared" si="3"/>
        <v>329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52</v>
      </c>
      <c r="D38" s="149" t="str">
        <f t="shared" si="1"/>
        <v>Ostale pomoći</v>
      </c>
      <c r="E38" s="154">
        <v>3299</v>
      </c>
      <c r="F38" s="149" t="str">
        <f t="shared" si="0"/>
        <v>Ostali nespomenuti rashodi poslovanja</v>
      </c>
      <c r="G38" s="201" t="s">
        <v>197</v>
      </c>
      <c r="H38" s="149" t="str">
        <f t="shared" si="2"/>
        <v>REDOVNA DJELATNOST SVEUČILIŠTA U OSIJEKU (IZ EVIDENCIJSKIH PRIHODA)</v>
      </c>
      <c r="I38" s="198">
        <v>20000</v>
      </c>
      <c r="J38" s="198">
        <v>25000</v>
      </c>
      <c r="K38" s="198">
        <v>25000</v>
      </c>
      <c r="M38" s="144" t="str">
        <f t="shared" si="3"/>
        <v>329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52</v>
      </c>
      <c r="D39" s="149" t="str">
        <f t="shared" si="1"/>
        <v>Ostale pomoći</v>
      </c>
      <c r="E39" s="154">
        <v>3211</v>
      </c>
      <c r="F39" s="149" t="str">
        <f t="shared" si="0"/>
        <v>Službena putovanja</v>
      </c>
      <c r="G39" s="201" t="s">
        <v>111</v>
      </c>
      <c r="H39" s="149" t="str">
        <f t="shared" si="2"/>
        <v>EU PROJEKTI SVEUČILIŠTA U OSIJEKU (IZ EVIDENCIJSKIH PRIHODA)</v>
      </c>
      <c r="I39" s="198">
        <v>20000</v>
      </c>
      <c r="J39" s="198">
        <v>20000</v>
      </c>
      <c r="K39" s="198">
        <v>20000</v>
      </c>
      <c r="M39" s="144" t="str">
        <f t="shared" si="3"/>
        <v>321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/>
      </c>
      <c r="B40" s="148" t="str">
        <f>IF(C40="","",VLOOKUP('Opći dio'!$C$3,'Opći dio'!$L$6:$U$135,9,FALSE))</f>
        <v/>
      </c>
      <c r="C40" s="154"/>
      <c r="D40" s="149" t="str">
        <f t="shared" si="1"/>
        <v/>
      </c>
      <c r="E40" s="154"/>
      <c r="F40" s="149" t="str">
        <f t="shared" si="0"/>
        <v/>
      </c>
      <c r="G40" s="201"/>
      <c r="H40" s="149" t="str">
        <f t="shared" si="2"/>
        <v/>
      </c>
      <c r="I40" s="198"/>
      <c r="J40" s="198"/>
      <c r="K40" s="198"/>
      <c r="M40" s="144" t="str">
        <f t="shared" si="3"/>
        <v/>
      </c>
      <c r="N40" s="144" t="str">
        <f t="shared" si="4"/>
        <v/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/>
      </c>
      <c r="B41" s="148" t="str">
        <f>IF(C41="","",VLOOKUP('Opći dio'!$C$3,'Opći dio'!$L$6:$U$135,9,FALSE))</f>
        <v/>
      </c>
      <c r="C41" s="154"/>
      <c r="D41" s="149" t="str">
        <f t="shared" si="1"/>
        <v/>
      </c>
      <c r="E41" s="154"/>
      <c r="F41" s="149" t="str">
        <f t="shared" si="0"/>
        <v/>
      </c>
      <c r="G41" s="201"/>
      <c r="H41" s="149" t="str">
        <f t="shared" si="2"/>
        <v/>
      </c>
      <c r="I41" s="198"/>
      <c r="J41" s="198"/>
      <c r="K41" s="198"/>
      <c r="M41" s="144" t="str">
        <f t="shared" si="3"/>
        <v/>
      </c>
      <c r="N41" s="144" t="str">
        <f t="shared" si="4"/>
        <v/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/>
      </c>
      <c r="B42" s="148" t="str">
        <f>IF(C42="","",VLOOKUP('Opći dio'!$C$3,'Opći dio'!$L$6:$U$135,9,FALSE))</f>
        <v/>
      </c>
      <c r="C42" s="154"/>
      <c r="D42" s="149" t="str">
        <f t="shared" si="1"/>
        <v/>
      </c>
      <c r="E42" s="154"/>
      <c r="F42" s="149" t="str">
        <f t="shared" si="0"/>
        <v/>
      </c>
      <c r="G42" s="201"/>
      <c r="H42" s="149" t="str">
        <f t="shared" si="2"/>
        <v/>
      </c>
      <c r="I42" s="198"/>
      <c r="J42" s="198"/>
      <c r="K42" s="198"/>
      <c r="M42" s="144" t="str">
        <f t="shared" si="3"/>
        <v/>
      </c>
      <c r="N42" s="144" t="str">
        <f t="shared" si="4"/>
        <v/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/>
      </c>
      <c r="B43" s="148" t="str">
        <f>IF(C43="","",VLOOKUP('Opći dio'!$C$3,'Opći dio'!$L$6:$U$135,9,FALSE))</f>
        <v/>
      </c>
      <c r="C43" s="154"/>
      <c r="D43" s="149" t="str">
        <f t="shared" si="1"/>
        <v/>
      </c>
      <c r="E43" s="154"/>
      <c r="F43" s="149" t="str">
        <f t="shared" si="0"/>
        <v/>
      </c>
      <c r="G43" s="201"/>
      <c r="H43" s="149" t="str">
        <f t="shared" si="2"/>
        <v/>
      </c>
      <c r="I43" s="198"/>
      <c r="J43" s="198"/>
      <c r="K43" s="198"/>
      <c r="M43" s="144" t="str">
        <f t="shared" si="3"/>
        <v/>
      </c>
      <c r="N43" s="144" t="str">
        <f t="shared" si="4"/>
        <v/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/>
      </c>
      <c r="B44" s="148" t="str">
        <f>IF(C44="","",VLOOKUP('Opći dio'!$C$3,'Opći dio'!$L$6:$U$135,9,FALSE))</f>
        <v/>
      </c>
      <c r="C44" s="154"/>
      <c r="D44" s="149" t="str">
        <f t="shared" si="1"/>
        <v/>
      </c>
      <c r="E44" s="154"/>
      <c r="F44" s="149" t="str">
        <f t="shared" si="0"/>
        <v/>
      </c>
      <c r="G44" s="201"/>
      <c r="H44" s="149" t="str">
        <f t="shared" si="2"/>
        <v/>
      </c>
      <c r="I44" s="198"/>
      <c r="J44" s="198"/>
      <c r="K44" s="198"/>
      <c r="M44" s="144" t="str">
        <f t="shared" si="3"/>
        <v/>
      </c>
      <c r="N44" s="144" t="str">
        <f t="shared" si="4"/>
        <v/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/>
      </c>
      <c r="B45" s="148" t="str">
        <f>IF(C45="","",VLOOKUP('Opći dio'!$C$3,'Opći dio'!$L$6:$U$135,9,FALSE))</f>
        <v/>
      </c>
      <c r="C45" s="154"/>
      <c r="D45" s="149" t="str">
        <f t="shared" si="1"/>
        <v/>
      </c>
      <c r="E45" s="154"/>
      <c r="F45" s="149" t="str">
        <f t="shared" si="0"/>
        <v/>
      </c>
      <c r="G45" s="201"/>
      <c r="H45" s="149" t="str">
        <f t="shared" si="2"/>
        <v/>
      </c>
      <c r="I45" s="198"/>
      <c r="J45" s="198"/>
      <c r="K45" s="198"/>
      <c r="M45" s="144" t="str">
        <f t="shared" si="3"/>
        <v/>
      </c>
      <c r="N45" s="144" t="str">
        <f t="shared" si="4"/>
        <v/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/>
      </c>
      <c r="B46" s="148" t="str">
        <f>IF(C46="","",VLOOKUP('Opći dio'!$C$3,'Opći dio'!$L$6:$U$135,9,FALSE))</f>
        <v/>
      </c>
      <c r="C46" s="154"/>
      <c r="D46" s="149" t="str">
        <f t="shared" si="1"/>
        <v/>
      </c>
      <c r="E46" s="154"/>
      <c r="F46" s="149" t="str">
        <f t="shared" si="0"/>
        <v/>
      </c>
      <c r="G46" s="201"/>
      <c r="H46" s="149" t="str">
        <f t="shared" si="2"/>
        <v/>
      </c>
      <c r="I46" s="198"/>
      <c r="J46" s="198"/>
      <c r="K46" s="198"/>
      <c r="M46" s="144" t="str">
        <f t="shared" si="3"/>
        <v/>
      </c>
      <c r="N46" s="144" t="str">
        <f t="shared" si="4"/>
        <v/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/>
      </c>
      <c r="B47" s="148" t="str">
        <f>IF(C47="","",VLOOKUP('Opći dio'!$C$3,'Opći dio'!$L$6:$U$135,9,FALSE))</f>
        <v/>
      </c>
      <c r="C47" s="154"/>
      <c r="D47" s="149" t="str">
        <f t="shared" si="1"/>
        <v/>
      </c>
      <c r="E47" s="154"/>
      <c r="F47" s="149" t="str">
        <f t="shared" si="0"/>
        <v/>
      </c>
      <c r="G47" s="201"/>
      <c r="H47" s="149" t="str">
        <f t="shared" si="2"/>
        <v/>
      </c>
      <c r="I47" s="198"/>
      <c r="J47" s="198"/>
      <c r="K47" s="198"/>
      <c r="M47" s="144" t="str">
        <f t="shared" si="3"/>
        <v/>
      </c>
      <c r="N47" s="144" t="str">
        <f t="shared" si="4"/>
        <v/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/>
      </c>
      <c r="B48" s="148" t="str">
        <f>IF(C48="","",VLOOKUP('Opći dio'!$C$3,'Opći dio'!$L$6:$U$135,9,FALSE))</f>
        <v/>
      </c>
      <c r="C48" s="154"/>
      <c r="D48" s="149" t="str">
        <f t="shared" si="1"/>
        <v/>
      </c>
      <c r="E48" s="154"/>
      <c r="F48" s="149" t="str">
        <f t="shared" si="0"/>
        <v/>
      </c>
      <c r="G48" s="201"/>
      <c r="H48" s="149" t="str">
        <f t="shared" si="2"/>
        <v/>
      </c>
      <c r="I48" s="198"/>
      <c r="J48" s="198"/>
      <c r="K48" s="198"/>
      <c r="M48" s="144" t="str">
        <f t="shared" si="3"/>
        <v/>
      </c>
      <c r="N48" s="144" t="str">
        <f t="shared" si="4"/>
        <v/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/>
      </c>
      <c r="B49" s="148" t="str">
        <f>IF(C49="","",VLOOKUP('Opći dio'!$C$3,'Opći dio'!$L$6:$U$135,9,FALSE))</f>
        <v/>
      </c>
      <c r="C49" s="154"/>
      <c r="D49" s="149" t="str">
        <f t="shared" si="1"/>
        <v/>
      </c>
      <c r="E49" s="154"/>
      <c r="F49" s="149" t="str">
        <f t="shared" si="0"/>
        <v/>
      </c>
      <c r="G49" s="201"/>
      <c r="H49" s="149" t="str">
        <f t="shared" si="2"/>
        <v/>
      </c>
      <c r="I49" s="198"/>
      <c r="J49" s="198"/>
      <c r="K49" s="198"/>
      <c r="M49" s="144" t="str">
        <f t="shared" si="3"/>
        <v/>
      </c>
      <c r="N49" s="144" t="str">
        <f t="shared" si="4"/>
        <v/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/>
      </c>
      <c r="B50" s="148" t="str">
        <f>IF(C50="","",VLOOKUP('Opći dio'!$C$3,'Opći dio'!$L$6:$U$135,9,FALSE))</f>
        <v/>
      </c>
      <c r="C50" s="154"/>
      <c r="D50" s="149" t="str">
        <f t="shared" si="1"/>
        <v/>
      </c>
      <c r="E50" s="154"/>
      <c r="F50" s="149" t="str">
        <f t="shared" si="0"/>
        <v/>
      </c>
      <c r="G50" s="201"/>
      <c r="H50" s="149" t="str">
        <f t="shared" si="2"/>
        <v/>
      </c>
      <c r="I50" s="198"/>
      <c r="J50" s="198"/>
      <c r="K50" s="198"/>
      <c r="M50" s="144" t="str">
        <f t="shared" si="3"/>
        <v/>
      </c>
      <c r="N50" s="144" t="str">
        <f t="shared" si="4"/>
        <v/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/>
      </c>
      <c r="B51" s="148" t="str">
        <f>IF(C51="","",VLOOKUP('Opći dio'!$C$3,'Opći dio'!$L$6:$U$135,9,FALSE))</f>
        <v/>
      </c>
      <c r="C51" s="154"/>
      <c r="D51" s="149" t="str">
        <f t="shared" si="1"/>
        <v/>
      </c>
      <c r="E51" s="154"/>
      <c r="F51" s="149" t="str">
        <f t="shared" si="0"/>
        <v/>
      </c>
      <c r="G51" s="201"/>
      <c r="H51" s="149" t="str">
        <f t="shared" si="2"/>
        <v/>
      </c>
      <c r="I51" s="198"/>
      <c r="J51" s="198"/>
      <c r="K51" s="198"/>
      <c r="M51" s="144" t="str">
        <f t="shared" si="3"/>
        <v/>
      </c>
      <c r="N51" s="144" t="str">
        <f t="shared" si="4"/>
        <v/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/>
      </c>
      <c r="B52" s="148" t="str">
        <f>IF(C52="","",VLOOKUP('Opći dio'!$C$3,'Opći dio'!$L$6:$U$135,9,FALSE))</f>
        <v/>
      </c>
      <c r="C52" s="154"/>
      <c r="D52" s="149" t="str">
        <f t="shared" si="1"/>
        <v/>
      </c>
      <c r="E52" s="154"/>
      <c r="F52" s="149" t="str">
        <f t="shared" si="0"/>
        <v/>
      </c>
      <c r="G52" s="201"/>
      <c r="H52" s="149" t="str">
        <f t="shared" si="2"/>
        <v/>
      </c>
      <c r="I52" s="198"/>
      <c r="J52" s="198"/>
      <c r="K52" s="198"/>
      <c r="M52" s="144" t="str">
        <f t="shared" si="3"/>
        <v/>
      </c>
      <c r="N52" s="144" t="str">
        <f t="shared" si="4"/>
        <v/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/>
      </c>
      <c r="B53" s="148" t="str">
        <f>IF(C53="","",VLOOKUP('Opći dio'!$C$3,'Opći dio'!$L$6:$U$135,9,FALSE))</f>
        <v/>
      </c>
      <c r="C53" s="154"/>
      <c r="D53" s="149" t="str">
        <f t="shared" si="1"/>
        <v/>
      </c>
      <c r="E53" s="154"/>
      <c r="F53" s="149" t="str">
        <f t="shared" si="0"/>
        <v/>
      </c>
      <c r="G53" s="201"/>
      <c r="H53" s="149" t="str">
        <f t="shared" si="2"/>
        <v/>
      </c>
      <c r="I53" s="198"/>
      <c r="J53" s="198"/>
      <c r="K53" s="198"/>
      <c r="M53" s="144" t="str">
        <f t="shared" si="3"/>
        <v/>
      </c>
      <c r="N53" s="144" t="str">
        <f t="shared" si="4"/>
        <v/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/>
      </c>
      <c r="B54" s="148" t="str">
        <f>IF(C54="","",VLOOKUP('Opći dio'!$C$3,'Opći dio'!$L$6:$U$135,9,FALSE))</f>
        <v/>
      </c>
      <c r="C54" s="154"/>
      <c r="D54" s="149" t="str">
        <f t="shared" si="1"/>
        <v/>
      </c>
      <c r="E54" s="154"/>
      <c r="F54" s="149" t="str">
        <f t="shared" si="0"/>
        <v/>
      </c>
      <c r="G54" s="201"/>
      <c r="H54" s="149" t="str">
        <f t="shared" si="2"/>
        <v/>
      </c>
      <c r="I54" s="198"/>
      <c r="J54" s="198"/>
      <c r="K54" s="198"/>
      <c r="M54" s="144" t="str">
        <f t="shared" si="3"/>
        <v/>
      </c>
      <c r="N54" s="144" t="str">
        <f t="shared" si="4"/>
        <v/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/>
      </c>
      <c r="B55" s="148" t="str">
        <f>IF(C55="","",VLOOKUP('Opći dio'!$C$3,'Opći dio'!$L$6:$U$135,9,FALSE))</f>
        <v/>
      </c>
      <c r="C55" s="154"/>
      <c r="D55" s="149" t="str">
        <f t="shared" si="1"/>
        <v/>
      </c>
      <c r="E55" s="154"/>
      <c r="F55" s="149" t="str">
        <f t="shared" si="0"/>
        <v/>
      </c>
      <c r="G55" s="201"/>
      <c r="H55" s="149" t="str">
        <f t="shared" si="2"/>
        <v/>
      </c>
      <c r="I55" s="198"/>
      <c r="J55" s="198"/>
      <c r="K55" s="198"/>
      <c r="M55" s="144" t="str">
        <f t="shared" si="3"/>
        <v/>
      </c>
      <c r="N55" s="144" t="str">
        <f t="shared" si="4"/>
        <v/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/>
      </c>
      <c r="B56" s="148" t="str">
        <f>IF(C56="","",VLOOKUP('Opći dio'!$C$3,'Opći dio'!$L$6:$U$135,9,FALSE))</f>
        <v/>
      </c>
      <c r="C56" s="154"/>
      <c r="D56" s="149" t="str">
        <f t="shared" si="1"/>
        <v/>
      </c>
      <c r="E56" s="154"/>
      <c r="F56" s="149" t="str">
        <f t="shared" si="0"/>
        <v/>
      </c>
      <c r="G56" s="201"/>
      <c r="H56" s="149" t="str">
        <f t="shared" si="2"/>
        <v/>
      </c>
      <c r="I56" s="198"/>
      <c r="J56" s="198"/>
      <c r="K56" s="198"/>
      <c r="M56" s="144" t="str">
        <f t="shared" si="3"/>
        <v/>
      </c>
      <c r="N56" s="144" t="str">
        <f t="shared" si="4"/>
        <v/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/>
      </c>
      <c r="B57" s="148" t="str">
        <f>IF(C57="","",VLOOKUP('Opći dio'!$C$3,'Opći dio'!$L$6:$U$135,9,FALSE))</f>
        <v/>
      </c>
      <c r="C57" s="154"/>
      <c r="D57" s="149" t="str">
        <f t="shared" si="1"/>
        <v/>
      </c>
      <c r="E57" s="154"/>
      <c r="F57" s="149" t="str">
        <f t="shared" si="0"/>
        <v/>
      </c>
      <c r="G57" s="201"/>
      <c r="H57" s="149" t="str">
        <f t="shared" si="2"/>
        <v/>
      </c>
      <c r="I57" s="198"/>
      <c r="J57" s="198"/>
      <c r="K57" s="198"/>
      <c r="M57" s="144" t="str">
        <f t="shared" si="3"/>
        <v/>
      </c>
      <c r="N57" s="144" t="str">
        <f t="shared" si="4"/>
        <v/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/>
      </c>
      <c r="B58" s="148" t="str">
        <f>IF(C58="","",VLOOKUP('Opći dio'!$C$3,'Opći dio'!$L$6:$U$135,9,FALSE))</f>
        <v/>
      </c>
      <c r="C58" s="154"/>
      <c r="D58" s="149" t="str">
        <f t="shared" si="1"/>
        <v/>
      </c>
      <c r="E58" s="154"/>
      <c r="F58" s="149" t="str">
        <f t="shared" si="0"/>
        <v/>
      </c>
      <c r="G58" s="201"/>
      <c r="H58" s="149" t="str">
        <f t="shared" si="2"/>
        <v/>
      </c>
      <c r="I58" s="198"/>
      <c r="J58" s="198"/>
      <c r="K58" s="198"/>
      <c r="M58" s="144" t="str">
        <f t="shared" si="3"/>
        <v/>
      </c>
      <c r="N58" s="144" t="str">
        <f t="shared" si="4"/>
        <v/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/>
      </c>
      <c r="B59" s="148" t="str">
        <f>IF(C59="","",VLOOKUP('Opći dio'!$C$3,'Opći dio'!$L$6:$U$135,9,FALSE))</f>
        <v/>
      </c>
      <c r="C59" s="154"/>
      <c r="D59" s="149" t="str">
        <f t="shared" si="1"/>
        <v/>
      </c>
      <c r="E59" s="154"/>
      <c r="F59" s="149" t="str">
        <f t="shared" si="0"/>
        <v/>
      </c>
      <c r="G59" s="201"/>
      <c r="H59" s="149" t="str">
        <f t="shared" si="2"/>
        <v/>
      </c>
      <c r="I59" s="198"/>
      <c r="J59" s="198"/>
      <c r="K59" s="198"/>
      <c r="M59" s="144" t="str">
        <f t="shared" si="3"/>
        <v/>
      </c>
      <c r="N59" s="144" t="str">
        <f t="shared" si="4"/>
        <v/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/>
      </c>
      <c r="B60" s="148" t="str">
        <f>IF(C60="","",VLOOKUP('Opći dio'!$C$3,'Opći dio'!$L$6:$U$135,9,FALSE))</f>
        <v/>
      </c>
      <c r="C60" s="154"/>
      <c r="D60" s="149" t="str">
        <f t="shared" si="1"/>
        <v/>
      </c>
      <c r="E60" s="154"/>
      <c r="F60" s="149" t="str">
        <f t="shared" si="0"/>
        <v/>
      </c>
      <c r="G60" s="201"/>
      <c r="H60" s="149" t="str">
        <f t="shared" si="2"/>
        <v/>
      </c>
      <c r="I60" s="198"/>
      <c r="J60" s="198"/>
      <c r="K60" s="198"/>
      <c r="M60" s="144" t="str">
        <f t="shared" si="3"/>
        <v/>
      </c>
      <c r="N60" s="144" t="str">
        <f t="shared" si="4"/>
        <v/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19685039370078741" right="0.19685039370078741" top="0.35433070866141736" bottom="0.35433070866141736" header="0.31496062992125984" footer="0.31496062992125984"/>
  <pageSetup paperSize="9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66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9" t="s">
        <v>290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3" t="s">
        <v>292</v>
      </c>
      <c r="B3" s="264"/>
      <c r="C3" s="265" t="s">
        <v>51</v>
      </c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7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1200000</v>
      </c>
      <c r="D5" s="3"/>
      <c r="E5" s="3"/>
      <c r="F5" s="3"/>
      <c r="G5" s="3">
        <v>1200000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8772186</v>
      </c>
      <c r="D6" s="15">
        <f t="shared" ref="D6:P6" si="1">+D26+D33</f>
        <v>8170186</v>
      </c>
      <c r="E6" s="15">
        <f t="shared" si="1"/>
        <v>0</v>
      </c>
      <c r="F6" s="15">
        <f t="shared" si="1"/>
        <v>60000</v>
      </c>
      <c r="G6" s="15">
        <f t="shared" si="1"/>
        <v>502000</v>
      </c>
      <c r="H6" s="15">
        <f t="shared" si="1"/>
        <v>0</v>
      </c>
      <c r="I6" s="15">
        <f t="shared" si="1"/>
        <v>40000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-950000</v>
      </c>
      <c r="D7" s="115">
        <v>0</v>
      </c>
      <c r="E7" s="115"/>
      <c r="F7" s="115"/>
      <c r="G7" s="115">
        <v>-950000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9022186</v>
      </c>
      <c r="D8" s="15">
        <f>+D5+D6+D7</f>
        <v>8170186</v>
      </c>
      <c r="E8" s="15">
        <f t="shared" ref="E8:P8" si="2">+E5+E6+E7</f>
        <v>0</v>
      </c>
      <c r="F8" s="15">
        <f t="shared" si="2"/>
        <v>60000</v>
      </c>
      <c r="G8" s="15">
        <f t="shared" si="2"/>
        <v>752000</v>
      </c>
      <c r="H8" s="15">
        <f t="shared" si="2"/>
        <v>0</v>
      </c>
      <c r="I8" s="15">
        <f t="shared" si="2"/>
        <v>40000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9022186</v>
      </c>
      <c r="D9" s="138">
        <f>+'PLAN RASHODA I IZDATAKA'!D3</f>
        <v>8170186</v>
      </c>
      <c r="E9" s="138">
        <f>+'PLAN RASHODA I IZDATAKA'!E3</f>
        <v>0</v>
      </c>
      <c r="F9" s="138">
        <f>+'PLAN RASHODA I IZDATAKA'!F3</f>
        <v>60000</v>
      </c>
      <c r="G9" s="138">
        <f>+'PLAN RASHODA I IZDATAKA'!G3</f>
        <v>752000</v>
      </c>
      <c r="H9" s="138">
        <f>+'PLAN RASHODA I IZDATAKA'!H3</f>
        <v>0</v>
      </c>
      <c r="I9" s="138">
        <f>+'PLAN RASHODA I IZDATAKA'!I3</f>
        <v>40000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20000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20000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20000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20000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500000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500000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60000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60000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8170186</v>
      </c>
      <c r="D23" s="204">
        <f>SUMIFS('Plan prihoda za unos u SAP'!$G$3:$G$501,'Plan prihoda za unos u SAP'!$C$3:$C$501,"=11",'Plan prihoda za unos u SAP'!$K$3:$K$501,"=671")</f>
        <v>8170186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2000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2000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8772186</v>
      </c>
      <c r="D26" s="4">
        <f t="shared" ref="D26:P26" si="6">SUM(D11:D25)</f>
        <v>8170186</v>
      </c>
      <c r="E26" s="4">
        <f t="shared" si="6"/>
        <v>0</v>
      </c>
      <c r="F26" s="4">
        <f t="shared" si="6"/>
        <v>60000</v>
      </c>
      <c r="G26" s="4">
        <f t="shared" si="6"/>
        <v>502000</v>
      </c>
      <c r="H26" s="4">
        <f t="shared" si="6"/>
        <v>0</v>
      </c>
      <c r="I26" s="4">
        <f t="shared" si="6"/>
        <v>40000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8" t="s">
        <v>339</v>
      </c>
      <c r="B37" s="268"/>
      <c r="C37" s="72">
        <f>SUM(D37:P37)</f>
        <v>8772186</v>
      </c>
      <c r="D37" s="72">
        <f t="shared" ref="D37:P37" si="9">+D36+D33+D26</f>
        <v>8170186</v>
      </c>
      <c r="E37" s="72">
        <f t="shared" si="9"/>
        <v>0</v>
      </c>
      <c r="F37" s="72">
        <f t="shared" si="9"/>
        <v>60000</v>
      </c>
      <c r="G37" s="72">
        <f t="shared" si="9"/>
        <v>502000</v>
      </c>
      <c r="H37" s="72">
        <f t="shared" si="9"/>
        <v>0</v>
      </c>
      <c r="I37" s="72">
        <f t="shared" si="9"/>
        <v>40000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3" t="s">
        <v>292</v>
      </c>
      <c r="B39" s="264"/>
      <c r="C39" s="265" t="s">
        <v>54</v>
      </c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7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950000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0</v>
      </c>
      <c r="G41" s="203">
        <f t="shared" si="11"/>
        <v>950000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9192380</v>
      </c>
      <c r="D42" s="15">
        <f t="shared" ref="D42:P42" si="12">+D62+D69</f>
        <v>8533380</v>
      </c>
      <c r="E42" s="15">
        <f t="shared" si="12"/>
        <v>0</v>
      </c>
      <c r="F42" s="15">
        <f t="shared" si="12"/>
        <v>67000</v>
      </c>
      <c r="G42" s="15">
        <f t="shared" si="12"/>
        <v>552000</v>
      </c>
      <c r="H42" s="15">
        <f t="shared" si="12"/>
        <v>0</v>
      </c>
      <c r="I42" s="15">
        <f t="shared" si="12"/>
        <v>40000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-950000</v>
      </c>
      <c r="D43" s="115"/>
      <c r="E43" s="115"/>
      <c r="F43" s="115"/>
      <c r="G43" s="115">
        <v>-950000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9192380</v>
      </c>
      <c r="D44" s="15">
        <f>+D41+D42+D43</f>
        <v>8533380</v>
      </c>
      <c r="E44" s="15">
        <f t="shared" ref="E44:P44" si="13">+E41+E42+E43</f>
        <v>0</v>
      </c>
      <c r="F44" s="15">
        <f t="shared" si="13"/>
        <v>67000</v>
      </c>
      <c r="G44" s="15">
        <f t="shared" si="13"/>
        <v>552000</v>
      </c>
      <c r="H44" s="15">
        <f t="shared" si="13"/>
        <v>0</v>
      </c>
      <c r="I44" s="15">
        <f t="shared" si="13"/>
        <v>40000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9197380</v>
      </c>
      <c r="D45" s="138">
        <f>+'PLAN RASHODA I IZDATAKA'!D71</f>
        <v>8533380</v>
      </c>
      <c r="E45" s="138">
        <f>+'PLAN RASHODA I IZDATAKA'!E71</f>
        <v>0</v>
      </c>
      <c r="F45" s="138">
        <f>+'PLAN RASHODA I IZDATAKA'!F71</f>
        <v>67000</v>
      </c>
      <c r="G45" s="138">
        <f>+'PLAN RASHODA I IZDATAKA'!G71</f>
        <v>552000</v>
      </c>
      <c r="H45" s="138">
        <f>+'PLAN RASHODA I IZDATAKA'!H71</f>
        <v>0</v>
      </c>
      <c r="I45" s="138">
        <f>+'PLAN RASHODA I IZDATAKA'!I71</f>
        <v>45000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-5000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-5000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20000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20000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20000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20000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550000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550000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67000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67000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8533380</v>
      </c>
      <c r="D59" s="204">
        <f>SUMIFS('Plan prihoda za unos u SAP'!$H$3:$H$501,'Plan prihoda za unos u SAP'!$C$3:$C$501,"=11",'Plan prihoda za unos u SAP'!$K$3:$K$501,"=671")</f>
        <v>8533380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2000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2000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9192380</v>
      </c>
      <c r="D62" s="4">
        <f t="shared" ref="D62:P62" si="17">SUM(D47:D61)</f>
        <v>8533380</v>
      </c>
      <c r="E62" s="4">
        <f t="shared" si="17"/>
        <v>0</v>
      </c>
      <c r="F62" s="4">
        <f t="shared" si="17"/>
        <v>67000</v>
      </c>
      <c r="G62" s="4">
        <f t="shared" si="17"/>
        <v>552000</v>
      </c>
      <c r="H62" s="4">
        <f t="shared" si="17"/>
        <v>0</v>
      </c>
      <c r="I62" s="4">
        <f t="shared" si="17"/>
        <v>40000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8" t="s">
        <v>339</v>
      </c>
      <c r="B73" s="268"/>
      <c r="C73" s="72">
        <f>SUM(D73:P73)</f>
        <v>9192380</v>
      </c>
      <c r="D73" s="72">
        <f t="shared" ref="D73:P73" si="20">+D72+D69+D62</f>
        <v>8533380</v>
      </c>
      <c r="E73" s="72">
        <f t="shared" si="20"/>
        <v>0</v>
      </c>
      <c r="F73" s="72">
        <f t="shared" si="20"/>
        <v>67000</v>
      </c>
      <c r="G73" s="72">
        <f t="shared" si="20"/>
        <v>552000</v>
      </c>
      <c r="H73" s="72">
        <f t="shared" si="20"/>
        <v>0</v>
      </c>
      <c r="I73" s="72">
        <f t="shared" si="20"/>
        <v>40000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3" t="s">
        <v>292</v>
      </c>
      <c r="B75" s="264"/>
      <c r="C75" s="265" t="s">
        <v>840</v>
      </c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266"/>
      <c r="O75" s="266"/>
      <c r="P75" s="267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950000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0</v>
      </c>
      <c r="G77" s="203">
        <f t="shared" si="22"/>
        <v>950000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9214587</v>
      </c>
      <c r="D78" s="15">
        <f t="shared" ref="D78:P78" si="23">+D98+D105</f>
        <v>8554587</v>
      </c>
      <c r="E78" s="15">
        <f t="shared" si="23"/>
        <v>0</v>
      </c>
      <c r="F78" s="15">
        <f t="shared" si="23"/>
        <v>68000</v>
      </c>
      <c r="G78" s="15">
        <f t="shared" si="23"/>
        <v>552000</v>
      </c>
      <c r="H78" s="15">
        <f t="shared" si="23"/>
        <v>0</v>
      </c>
      <c r="I78" s="15">
        <f t="shared" si="23"/>
        <v>40000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-950000</v>
      </c>
      <c r="D79" s="115"/>
      <c r="E79" s="115"/>
      <c r="F79" s="115"/>
      <c r="G79" s="115">
        <v>-950000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9214587</v>
      </c>
      <c r="D80" s="15">
        <f>+D77+D78+D79</f>
        <v>8554587</v>
      </c>
      <c r="E80" s="15">
        <f t="shared" ref="E80:P80" si="24">+E77+E78+E79</f>
        <v>0</v>
      </c>
      <c r="F80" s="15">
        <f t="shared" si="24"/>
        <v>68000</v>
      </c>
      <c r="G80" s="15">
        <f t="shared" si="24"/>
        <v>552000</v>
      </c>
      <c r="H80" s="15">
        <f t="shared" si="24"/>
        <v>0</v>
      </c>
      <c r="I80" s="15">
        <f t="shared" si="24"/>
        <v>40000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9219587</v>
      </c>
      <c r="D81" s="138">
        <f>+'PLAN RASHODA I IZDATAKA'!D91</f>
        <v>8554587</v>
      </c>
      <c r="E81" s="138">
        <f>+'PLAN RASHODA I IZDATAKA'!E91</f>
        <v>0</v>
      </c>
      <c r="F81" s="138">
        <f>+'PLAN RASHODA I IZDATAKA'!F91</f>
        <v>68000</v>
      </c>
      <c r="G81" s="138">
        <f>+'PLAN RASHODA I IZDATAKA'!G91</f>
        <v>552000</v>
      </c>
      <c r="H81" s="138">
        <f>+'PLAN RASHODA I IZDATAKA'!H91</f>
        <v>0</v>
      </c>
      <c r="I81" s="138">
        <f>+'PLAN RASHODA I IZDATAKA'!I91</f>
        <v>45000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-5000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-5000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20000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20000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20000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20000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550000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550000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68000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68000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8554587</v>
      </c>
      <c r="D95" s="204">
        <f>SUMIFS('Plan prihoda za unos u SAP'!$I$3:$I$501,'Plan prihoda za unos u SAP'!$C$3:$C$501,"=11",'Plan prihoda za unos u SAP'!$K$3:$K$501,"=671")</f>
        <v>8554587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2000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2000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9214587</v>
      </c>
      <c r="D98" s="4">
        <f t="shared" ref="D98:P98" si="28">SUM(D83:D97)</f>
        <v>8554587</v>
      </c>
      <c r="E98" s="4">
        <f t="shared" si="28"/>
        <v>0</v>
      </c>
      <c r="F98" s="4">
        <f t="shared" si="28"/>
        <v>68000</v>
      </c>
      <c r="G98" s="4">
        <f t="shared" si="28"/>
        <v>552000</v>
      </c>
      <c r="H98" s="4">
        <f t="shared" si="28"/>
        <v>0</v>
      </c>
      <c r="I98" s="4">
        <f t="shared" si="28"/>
        <v>40000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8" t="s">
        <v>339</v>
      </c>
      <c r="B109" s="268"/>
      <c r="C109" s="72">
        <f>SUM(D109:P109)</f>
        <v>9214587</v>
      </c>
      <c r="D109" s="72">
        <f t="shared" ref="D109:P109" si="31">+D108+D105+D98</f>
        <v>8554587</v>
      </c>
      <c r="E109" s="72">
        <f t="shared" si="31"/>
        <v>0</v>
      </c>
      <c r="F109" s="72">
        <f t="shared" si="31"/>
        <v>68000</v>
      </c>
      <c r="G109" s="72">
        <f t="shared" si="31"/>
        <v>552000</v>
      </c>
      <c r="H109" s="72">
        <f t="shared" si="31"/>
        <v>0</v>
      </c>
      <c r="I109" s="72">
        <f t="shared" si="31"/>
        <v>40000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9022186</v>
      </c>
      <c r="D3" s="123">
        <f t="shared" ref="D3:P3" si="0">D4+D38+D58</f>
        <v>8170186</v>
      </c>
      <c r="E3" s="123">
        <f t="shared" si="0"/>
        <v>0</v>
      </c>
      <c r="F3" s="123">
        <f t="shared" si="0"/>
        <v>60000</v>
      </c>
      <c r="G3" s="123">
        <f t="shared" si="0"/>
        <v>752000</v>
      </c>
      <c r="H3" s="123">
        <f t="shared" si="0"/>
        <v>0</v>
      </c>
      <c r="I3" s="123">
        <f t="shared" si="0"/>
        <v>40000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8962186</v>
      </c>
      <c r="D4" s="127">
        <f>D5+D9+D15+D19+D23+D30+D33</f>
        <v>8170186</v>
      </c>
      <c r="E4" s="127">
        <f t="shared" ref="E4:P4" si="1">E5+E9+E15+E19+E23+E30+E33</f>
        <v>0</v>
      </c>
      <c r="F4" s="127">
        <f t="shared" si="1"/>
        <v>60000</v>
      </c>
      <c r="G4" s="127">
        <f t="shared" si="1"/>
        <v>692000</v>
      </c>
      <c r="H4" s="127">
        <f t="shared" si="1"/>
        <v>0</v>
      </c>
      <c r="I4" s="127">
        <f t="shared" si="1"/>
        <v>40000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7542915</v>
      </c>
      <c r="D5" s="13">
        <f>SUM(D6:D8)</f>
        <v>7492915</v>
      </c>
      <c r="E5" s="13">
        <f t="shared" ref="E5:P5" si="3">SUM(E6:E8)</f>
        <v>0</v>
      </c>
      <c r="F5" s="13">
        <f t="shared" si="3"/>
        <v>0</v>
      </c>
      <c r="G5" s="13">
        <f t="shared" si="3"/>
        <v>50000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6357560</v>
      </c>
      <c r="D6" s="143">
        <f>SUMIFS('Plan rashoda za unos u SAP'!$I$3:$I$501,'Plan rashoda za unos u SAP'!$C$3:$C$501,"=11",'Plan rashoda za unos u SAP'!$M$3:$M$501,"=311")</f>
        <v>6357560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180840</v>
      </c>
      <c r="D7" s="143">
        <f>SUMIFS('Plan rashoda za unos u SAP'!$I$3:$I$501,'Plan rashoda za unos u SAP'!$C$3:$C$501,"=11",'Plan rashoda za unos u SAP'!$M$3:$M$501,"=312")</f>
        <v>130840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0</v>
      </c>
      <c r="G7" s="143">
        <f>SUMIFS('Plan rashoda za unos u SAP'!$I$3:$I$501,'Plan rashoda za unos u SAP'!$C$3:$C$501,"=43",'Plan rashoda za unos u SAP'!$M$3:$M$501,"=312")</f>
        <v>50000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1004515</v>
      </c>
      <c r="D8" s="143">
        <f>SUMIFS('Plan rashoda za unos u SAP'!$I$3:$I$501,'Plan rashoda za unos u SAP'!$C$3:$C$501,"=11",'Plan rashoda za unos u SAP'!$M$3:$M$501,"=313")</f>
        <v>1004515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1381271</v>
      </c>
      <c r="D9" s="79">
        <f t="shared" ref="D9:P9" si="4">SUM(D10:D14)</f>
        <v>649271</v>
      </c>
      <c r="E9" s="79">
        <f t="shared" si="4"/>
        <v>0</v>
      </c>
      <c r="F9" s="79">
        <f t="shared" si="4"/>
        <v>60000</v>
      </c>
      <c r="G9" s="79">
        <f t="shared" si="4"/>
        <v>632000</v>
      </c>
      <c r="H9" s="79">
        <f t="shared" si="4"/>
        <v>0</v>
      </c>
      <c r="I9" s="79">
        <f t="shared" si="4"/>
        <v>40000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271140</v>
      </c>
      <c r="D10" s="143">
        <f>SUMIFS('Plan rashoda za unos u SAP'!$I$3:$I$501,'Plan rashoda za unos u SAP'!$C$3:$C$501,"=11",'Plan rashoda za unos u SAP'!$M$3:$M$501,"=321")</f>
        <v>221140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0</v>
      </c>
      <c r="G10" s="143">
        <f>SUMIFS('Plan rashoda za unos u SAP'!$I$3:$I$501,'Plan rashoda za unos u SAP'!$C$3:$C$501,"=43",'Plan rashoda za unos u SAP'!$M$3:$M$501,"=321")</f>
        <v>30000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20000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316255</v>
      </c>
      <c r="D11" s="143">
        <f>SUMIFS('Plan rashoda za unos u SAP'!$I$3:$I$501,'Plan rashoda za unos u SAP'!$C$3:$C$501,"=11",'Plan rashoda za unos u SAP'!$M$3:$M$501,"=322")</f>
        <v>188255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0</v>
      </c>
      <c r="G11" s="143">
        <f>SUMIFS('Plan rashoda za unos u SAP'!$I$3:$I$501,'Plan rashoda za unos u SAP'!$C$3:$C$501,"=43",'Plan rashoda za unos u SAP'!$M$3:$M$501,"=322")</f>
        <v>128000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660876</v>
      </c>
      <c r="D12" s="143">
        <f>SUMIFS('Plan rashoda za unos u SAP'!$I$3:$I$501,'Plan rashoda za unos u SAP'!$C$3:$C$501,"=11",'Plan rashoda za unos u SAP'!$M$3:$M$501,"=323")</f>
        <v>219876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0</v>
      </c>
      <c r="G12" s="143">
        <f>SUMIFS('Plan rashoda za unos u SAP'!$I$3:$I$501,'Plan rashoda za unos u SAP'!$C$3:$C$501,"=43",'Plan rashoda za unos u SAP'!$M$3:$M$501,"=323")</f>
        <v>441000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10000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10000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123000</v>
      </c>
      <c r="D14" s="143">
        <f>SUMIFS('Plan rashoda za unos u SAP'!$I$3:$I$501,'Plan rashoda za unos u SAP'!$C$3:$C$501,"=11",'Plan rashoda za unos u SAP'!$M$3:$M$501,"=329")</f>
        <v>20000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60000</v>
      </c>
      <c r="G14" s="143">
        <f>SUMIFS('Plan rashoda za unos u SAP'!$I$3:$I$501,'Plan rashoda za unos u SAP'!$C$3:$C$501,"=43",'Plan rashoda za unos u SAP'!$M$3:$M$501,"=329")</f>
        <v>23000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20000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10000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10000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10000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10000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28000</v>
      </c>
      <c r="D30" s="4">
        <f t="shared" ref="D30:P30" si="8">SUM(D31:D32)</f>
        <v>28000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28000</v>
      </c>
      <c r="D32" s="143">
        <f>SUMIFS('Plan rashoda za unos u SAP'!$I$3:$I$501,'Plan rashoda za unos u SAP'!$C$3:$C$501,"=11",'Plan rashoda za unos u SAP'!$M$3:$M$501,"=372")</f>
        <v>28000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60000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0</v>
      </c>
      <c r="G38" s="128">
        <f t="shared" si="10"/>
        <v>60000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60000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0</v>
      </c>
      <c r="G42" s="4">
        <f t="shared" si="12"/>
        <v>60000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40000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0</v>
      </c>
      <c r="G44" s="143">
        <f>SUMIFS('Plan rashoda za unos u SAP'!$I$3:$I$501,'Plan rashoda za unos u SAP'!$C$3:$C$501,"=43",'Plan rashoda za unos u SAP'!$M$3:$M$501,"=422")</f>
        <v>40000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20000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20000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9197380</v>
      </c>
      <c r="D71" s="123">
        <f t="shared" ref="D71:P71" si="21">+D72+D80+D86</f>
        <v>8533380</v>
      </c>
      <c r="E71" s="123">
        <f t="shared" si="21"/>
        <v>0</v>
      </c>
      <c r="F71" s="123">
        <f t="shared" si="21"/>
        <v>67000</v>
      </c>
      <c r="G71" s="123">
        <f t="shared" si="21"/>
        <v>552000</v>
      </c>
      <c r="H71" s="123">
        <f t="shared" si="21"/>
        <v>0</v>
      </c>
      <c r="I71" s="123">
        <f t="shared" si="21"/>
        <v>45000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9137380</v>
      </c>
      <c r="D72" s="132">
        <f t="shared" ref="D72:P72" si="22">SUM(D73:D79)</f>
        <v>8533380</v>
      </c>
      <c r="E72" s="132">
        <f t="shared" si="22"/>
        <v>0</v>
      </c>
      <c r="F72" s="132">
        <f t="shared" si="22"/>
        <v>67000</v>
      </c>
      <c r="G72" s="132">
        <f t="shared" si="22"/>
        <v>492000</v>
      </c>
      <c r="H72" s="132">
        <f t="shared" si="22"/>
        <v>0</v>
      </c>
      <c r="I72" s="132">
        <f t="shared" si="22"/>
        <v>45000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7845033</v>
      </c>
      <c r="D73" s="143">
        <f>SUMIFS('Plan rashoda za unos u SAP'!$J$3:$J$501,'Plan rashoda za unos u SAP'!$C$3:$C$501,"=11",'Plan rashoda za unos u SAP'!$N$3:$N$501,"=31")</f>
        <v>7795033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0</v>
      </c>
      <c r="G73" s="143">
        <f>SUMIFS('Plan rashoda za unos u SAP'!$J$3:$J$501,'Plan rashoda za unos u SAP'!$C$3:$C$501,"=43",'Plan rashoda za unos u SAP'!$N$3:$N$501,"=31")</f>
        <v>50000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1252347</v>
      </c>
      <c r="D74" s="143">
        <f>SUMIFS('Plan rashoda za unos u SAP'!$J$3:$J$501,'Plan rashoda za unos u SAP'!$C$3:$C$501,"=11",'Plan rashoda za unos u SAP'!$N$3:$N$501,"=32")</f>
        <v>709347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67000</v>
      </c>
      <c r="G74" s="143">
        <f>SUMIFS('Plan rashoda za unos u SAP'!$J$3:$J$501,'Plan rashoda za unos u SAP'!$C$3:$C$501,"=43",'Plan rashoda za unos u SAP'!$N$3:$N$501,"=32")</f>
        <v>431000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45000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11000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11000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29000</v>
      </c>
      <c r="D78" s="143">
        <f>SUMIFS('Plan rashoda za unos u SAP'!$J$3:$J$501,'Plan rashoda za unos u SAP'!$C$3:$C$501,"=11",'Plan rashoda za unos u SAP'!$N$3:$N$501,"=37")</f>
        <v>29000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60000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0</v>
      </c>
      <c r="G80" s="133">
        <f t="shared" si="24"/>
        <v>60000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60000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0</v>
      </c>
      <c r="G82" s="143">
        <f>SUMIFS('Plan rashoda za unos u SAP'!$J$3:$J$501,'Plan rashoda za unos u SAP'!$C$3:$C$501,"=43",'Plan rashoda za unos u SAP'!$N$3:$N$501,"=42")</f>
        <v>60000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9219587</v>
      </c>
      <c r="D91" s="123">
        <f t="shared" ref="D91:P91" si="27">D92+D100+D106</f>
        <v>8554587</v>
      </c>
      <c r="E91" s="123">
        <f t="shared" si="27"/>
        <v>0</v>
      </c>
      <c r="F91" s="123">
        <f t="shared" si="27"/>
        <v>68000</v>
      </c>
      <c r="G91" s="123">
        <f t="shared" si="27"/>
        <v>552000</v>
      </c>
      <c r="H91" s="123">
        <f t="shared" si="27"/>
        <v>0</v>
      </c>
      <c r="I91" s="123">
        <f t="shared" si="27"/>
        <v>45000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9159587</v>
      </c>
      <c r="D92" s="132">
        <f t="shared" ref="D92:P92" si="28">SUM(D93:D99)</f>
        <v>8554587</v>
      </c>
      <c r="E92" s="132">
        <f t="shared" si="28"/>
        <v>0</v>
      </c>
      <c r="F92" s="132">
        <f t="shared" si="28"/>
        <v>68000</v>
      </c>
      <c r="G92" s="132">
        <f t="shared" si="28"/>
        <v>492000</v>
      </c>
      <c r="H92" s="132">
        <f t="shared" si="28"/>
        <v>0</v>
      </c>
      <c r="I92" s="132">
        <f t="shared" si="28"/>
        <v>45000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7864221</v>
      </c>
      <c r="D93" s="143">
        <f>SUMIFS('Plan rashoda za unos u SAP'!$K$3:$K$501,'Plan rashoda za unos u SAP'!$C$3:$C$501,"=11",'Plan rashoda za unos u SAP'!$N$3:$N$501,"=31")</f>
        <v>7814221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0</v>
      </c>
      <c r="G93" s="143">
        <f>SUMIFS('Plan rashoda za unos u SAP'!$K$3:$K$501,'Plan rashoda za unos u SAP'!$C$3:$C$501,"=43",'Plan rashoda za unos u SAP'!$N$3:$N$501,"=31")</f>
        <v>50000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1255366</v>
      </c>
      <c r="D94" s="143">
        <f>SUMIFS('Plan rashoda za unos u SAP'!$K$3:$K$501,'Plan rashoda za unos u SAP'!$C$3:$C$501,"=11",'Plan rashoda za unos u SAP'!$N$3:$N$501,"=32")</f>
        <v>711366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68000</v>
      </c>
      <c r="G94" s="143">
        <f>SUMIFS('Plan rashoda za unos u SAP'!$K$3:$K$501,'Plan rashoda za unos u SAP'!$C$3:$C$501,"=43",'Plan rashoda za unos u SAP'!$N$3:$N$501,"=32")</f>
        <v>431000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45000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11000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11000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29000</v>
      </c>
      <c r="D98" s="143">
        <f>SUMIFS('Plan rashoda za unos u SAP'!$K$3:$K$501,'Plan rashoda za unos u SAP'!$C$3:$C$501,"=11",'Plan rashoda za unos u SAP'!$N$3:$N$501,"=37")</f>
        <v>29000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60000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0</v>
      </c>
      <c r="G100" s="133">
        <f t="shared" si="30"/>
        <v>60000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60000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0</v>
      </c>
      <c r="G102" s="143">
        <f>SUMIFS('Plan rashoda za unos u SAP'!$K$3:$K$501,'Plan rashoda za unos u SAP'!$C$3:$C$501,"=43",'Plan rashoda za unos u SAP'!$N$3:$N$501,"=42")</f>
        <v>60000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B1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923</v>
      </c>
      <c r="F3" s="149" t="str">
        <f>IFERROR(VLOOKUP(E3,$AA$6:$AB$200,2,FALSE),"")</f>
        <v>ERASMUS+ projekt individualne mobilnosti nastavnog i nenastavnog osoblja kroz boravak na inozemnim ustanovama</v>
      </c>
      <c r="G3" s="198">
        <v>20000</v>
      </c>
      <c r="H3" s="198">
        <v>20000</v>
      </c>
      <c r="I3" s="198">
        <v>20000</v>
      </c>
      <c r="J3" s="226" t="s">
        <v>1670</v>
      </c>
      <c r="K3" s="225" t="s">
        <v>1671</v>
      </c>
      <c r="L3" s="225" t="s">
        <v>1672</v>
      </c>
      <c r="M3" s="226" t="s">
        <v>1674</v>
      </c>
      <c r="N3" s="226" t="s">
        <v>1673</v>
      </c>
      <c r="P3" s="144" t="str">
        <f>LEFT(C3,3)</f>
        <v>321</v>
      </c>
      <c r="Q3" s="144" t="str">
        <f>LEFT(C3,2)</f>
        <v>32</v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25" workbookViewId="0">
      <selection activeCell="B52" sqref="B52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34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 KBF</cp:lastModifiedBy>
  <cp:lastPrinted>2019-12-13T09:32:54Z</cp:lastPrinted>
  <dcterms:created xsi:type="dcterms:W3CDTF">2018-09-10T07:36:17Z</dcterms:created>
  <dcterms:modified xsi:type="dcterms:W3CDTF">2019-12-19T11:37:08Z</dcterms:modified>
</cp:coreProperties>
</file>